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19"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114" i="8" l="1"/>
  <c r="N115" i="8"/>
  <c r="Q72" i="8" l="1"/>
  <c r="P72" i="8"/>
  <c r="P45" i="8" l="1"/>
  <c r="O18" i="1" l="1"/>
  <c r="M66" i="1" l="1"/>
  <c r="Q66" i="1" s="1"/>
  <c r="P66" i="1" l="1"/>
  <c r="Q107" i="8"/>
  <c r="P107" i="8"/>
  <c r="Q106" i="8"/>
  <c r="P106" i="8"/>
  <c r="L17" i="1" l="1"/>
  <c r="M20" i="1"/>
  <c r="P20" i="1" s="1"/>
  <c r="M22" i="1"/>
  <c r="P22" i="1" s="1"/>
  <c r="Q22" i="1" l="1"/>
  <c r="D12" i="13" l="1"/>
  <c r="E9" i="13" l="1"/>
  <c r="E10" i="13"/>
  <c r="E11" i="13"/>
  <c r="C8" i="13" l="1"/>
  <c r="E8" i="13" s="1"/>
  <c r="C7" i="13"/>
  <c r="E7" i="13" s="1"/>
  <c r="C6" i="13"/>
  <c r="C12" i="13" l="1"/>
  <c r="E6" i="13"/>
  <c r="E12" i="13" s="1"/>
  <c r="N69" i="1"/>
  <c r="G67" i="1"/>
  <c r="Q65" i="1"/>
  <c r="P65" i="1"/>
  <c r="M64" i="1"/>
  <c r="Q64" i="1" s="1"/>
  <c r="M63" i="1"/>
  <c r="P63" i="1" s="1"/>
  <c r="M62" i="1"/>
  <c r="Q62" i="1" s="1"/>
  <c r="M60" i="1"/>
  <c r="P60" i="1" s="1"/>
  <c r="O59" i="1"/>
  <c r="M59" i="1" s="1"/>
  <c r="Q59" i="1" s="1"/>
  <c r="Q58" i="1"/>
  <c r="P58" i="1"/>
  <c r="T57" i="1"/>
  <c r="S57" i="1" s="1"/>
  <c r="Q57" i="1"/>
  <c r="P57" i="1"/>
  <c r="M56" i="1"/>
  <c r="T56" i="1" s="1"/>
  <c r="S56" i="1" s="1"/>
  <c r="M55" i="1"/>
  <c r="P55" i="1" s="1"/>
  <c r="T54" i="1"/>
  <c r="S54" i="1" s="1"/>
  <c r="Q54" i="1"/>
  <c r="P54" i="1"/>
  <c r="T52" i="1"/>
  <c r="S52" i="1" s="1"/>
  <c r="Q52" i="1"/>
  <c r="P52" i="1"/>
  <c r="O52" i="1"/>
  <c r="N51" i="1"/>
  <c r="M51" i="1" s="1"/>
  <c r="Q51" i="1" s="1"/>
  <c r="M50" i="1"/>
  <c r="T50" i="1" s="1"/>
  <c r="S50" i="1" s="1"/>
  <c r="M49" i="1"/>
  <c r="T49" i="1" s="1"/>
  <c r="S49" i="1" s="1"/>
  <c r="T48" i="1"/>
  <c r="S48" i="1" s="1"/>
  <c r="P48" i="1"/>
  <c r="T47" i="1"/>
  <c r="S47" i="1" s="1"/>
  <c r="P47" i="1"/>
  <c r="M46" i="1"/>
  <c r="P46" i="1" s="1"/>
  <c r="M45" i="1"/>
  <c r="Q45" i="1" s="1"/>
  <c r="T43" i="1"/>
  <c r="S43" i="1" s="1"/>
  <c r="M42" i="1"/>
  <c r="P42" i="1" s="1"/>
  <c r="M41" i="1"/>
  <c r="M40" i="1"/>
  <c r="P40" i="1" s="1"/>
  <c r="M39" i="1"/>
  <c r="T39" i="1" s="1"/>
  <c r="S39" i="1" s="1"/>
  <c r="T38" i="1"/>
  <c r="S38" i="1" s="1"/>
  <c r="T37" i="1"/>
  <c r="S37" i="1" s="1"/>
  <c r="Q37" i="1"/>
  <c r="P37" i="1"/>
  <c r="P36" i="1"/>
  <c r="M35" i="1"/>
  <c r="Q35" i="1" s="1"/>
  <c r="M34" i="1"/>
  <c r="P34" i="1" s="1"/>
  <c r="M33" i="1"/>
  <c r="Q33" i="1" s="1"/>
  <c r="L33" i="1"/>
  <c r="T32" i="1"/>
  <c r="S32" i="1" s="1"/>
  <c r="N31" i="1"/>
  <c r="M31" i="1" s="1"/>
  <c r="Q31" i="1" s="1"/>
  <c r="L31" i="1"/>
  <c r="T30" i="1"/>
  <c r="S30" i="1" s="1"/>
  <c r="M29" i="1"/>
  <c r="P29" i="1" s="1"/>
  <c r="M28" i="1"/>
  <c r="T28" i="1" s="1"/>
  <c r="S28" i="1" s="1"/>
  <c r="M27" i="1"/>
  <c r="T27" i="1" s="1"/>
  <c r="S27" i="1" s="1"/>
  <c r="M26" i="1"/>
  <c r="T26" i="1" s="1"/>
  <c r="S26" i="1" s="1"/>
  <c r="M25" i="1"/>
  <c r="T25" i="1" s="1"/>
  <c r="S25" i="1" s="1"/>
  <c r="M24" i="1"/>
  <c r="T24" i="1" s="1"/>
  <c r="S24" i="1" s="1"/>
  <c r="M23" i="1"/>
  <c r="P23" i="1" s="1"/>
  <c r="M21" i="1"/>
  <c r="T21" i="1" s="1"/>
  <c r="S21" i="1" s="1"/>
  <c r="Q20" i="1"/>
  <c r="M19" i="1"/>
  <c r="Q19" i="1" s="1"/>
  <c r="L19" i="1"/>
  <c r="M18" i="1"/>
  <c r="Q18" i="1" s="1"/>
  <c r="L18" i="1"/>
  <c r="O17" i="1"/>
  <c r="M17" i="1" s="1"/>
  <c r="M16" i="1"/>
  <c r="T16" i="1" s="1"/>
  <c r="S16" i="1" s="1"/>
  <c r="M15" i="1"/>
  <c r="T15" i="1" s="1"/>
  <c r="S15" i="1" s="1"/>
  <c r="M14" i="1"/>
  <c r="P14" i="1" s="1"/>
  <c r="M13" i="1"/>
  <c r="P13" i="1" s="1"/>
  <c r="O12" i="1"/>
  <c r="M12" i="1" s="1"/>
  <c r="M11" i="1"/>
  <c r="T11" i="1" s="1"/>
  <c r="S11" i="1" s="1"/>
  <c r="N9" i="1"/>
  <c r="M8" i="1"/>
  <c r="P8" i="1" s="1"/>
  <c r="T7" i="1"/>
  <c r="S7" i="1" s="1"/>
  <c r="P7" i="1"/>
  <c r="M6" i="1"/>
  <c r="T6" i="1" s="1"/>
  <c r="S6" i="1" s="1"/>
  <c r="M5" i="1"/>
  <c r="P5" i="1" s="1"/>
  <c r="L67" i="1" l="1"/>
  <c r="D8" i="11" s="1"/>
  <c r="N67" i="1"/>
  <c r="N68" i="1" s="1"/>
  <c r="T41" i="1"/>
  <c r="S41" i="1" s="1"/>
  <c r="Q63" i="1"/>
  <c r="T19" i="1"/>
  <c r="S19" i="1" s="1"/>
  <c r="P15" i="1"/>
  <c r="Q47" i="1"/>
  <c r="P25" i="1"/>
  <c r="T55" i="1"/>
  <c r="S55" i="1" s="1"/>
  <c r="P21" i="1"/>
  <c r="P24" i="1"/>
  <c r="Q29" i="1"/>
  <c r="Q34" i="1"/>
  <c r="P45" i="1"/>
  <c r="P6" i="1"/>
  <c r="P11" i="1"/>
  <c r="Q21" i="1"/>
  <c r="P31" i="1"/>
  <c r="Q42" i="1"/>
  <c r="P51" i="1"/>
  <c r="P56" i="1"/>
  <c r="P62" i="1"/>
  <c r="P64" i="1"/>
  <c r="P16" i="1"/>
  <c r="T31" i="1"/>
  <c r="S31" i="1" s="1"/>
  <c r="P33" i="1"/>
  <c r="P35" i="1"/>
  <c r="Q40" i="1"/>
  <c r="Q56" i="1"/>
  <c r="P12" i="1"/>
  <c r="T12" i="1"/>
  <c r="S12" i="1" s="1"/>
  <c r="P17" i="1"/>
  <c r="Q17" i="1"/>
  <c r="T8" i="1"/>
  <c r="S8" i="1" s="1"/>
  <c r="T14" i="1"/>
  <c r="S14" i="1" s="1"/>
  <c r="T23" i="1"/>
  <c r="S23" i="1" s="1"/>
  <c r="Q5" i="1"/>
  <c r="Q8" i="1"/>
  <c r="Q14" i="1"/>
  <c r="P18" i="1"/>
  <c r="P19" i="1"/>
  <c r="Q23" i="1"/>
  <c r="T29" i="1"/>
  <c r="S29" i="1" s="1"/>
  <c r="T34" i="1"/>
  <c r="S34" i="1" s="1"/>
  <c r="T40" i="1"/>
  <c r="S40" i="1" s="1"/>
  <c r="T42" i="1"/>
  <c r="S42" i="1" s="1"/>
  <c r="Q46" i="1"/>
  <c r="P59" i="1"/>
  <c r="Q60" i="1"/>
  <c r="O67" i="1"/>
  <c r="T13" i="1"/>
  <c r="S13" i="1" s="1"/>
  <c r="Q16" i="1"/>
  <c r="Q25" i="1"/>
  <c r="P26" i="1"/>
  <c r="P27" i="1"/>
  <c r="P28" i="1"/>
  <c r="T35" i="1"/>
  <c r="S35" i="1" s="1"/>
  <c r="P49" i="1"/>
  <c r="P50" i="1"/>
  <c r="T51" i="1"/>
  <c r="S51" i="1" s="1"/>
  <c r="T5" i="1"/>
  <c r="S5" i="1" s="1"/>
  <c r="M9" i="1"/>
  <c r="M67" i="1" s="1"/>
  <c r="F8" i="11" l="1"/>
  <c r="O69" i="1"/>
  <c r="G8" i="11"/>
  <c r="Q9" i="1"/>
  <c r="P9" i="1"/>
  <c r="T10" i="1"/>
  <c r="S10" i="1" s="1"/>
  <c r="E8" i="11"/>
  <c r="Q67" i="1" l="1"/>
  <c r="P67" i="1"/>
  <c r="T67" i="1"/>
  <c r="S67" i="1" s="1"/>
  <c r="E18" i="11"/>
  <c r="Q105" i="8" l="1"/>
  <c r="P105" i="8"/>
  <c r="T94" i="8"/>
  <c r="S94" i="8" s="1"/>
  <c r="Q39" i="8" l="1"/>
  <c r="Q33" i="8"/>
  <c r="Q23" i="8"/>
  <c r="M100" i="8" l="1"/>
  <c r="P100" i="8" l="1"/>
  <c r="Q100" i="8"/>
  <c r="G113" i="8"/>
  <c r="Q112" i="8"/>
  <c r="Q111" i="8"/>
  <c r="Q110" i="8"/>
  <c r="Q109" i="8"/>
  <c r="Q108" i="8"/>
  <c r="Q102" i="8"/>
  <c r="E17" i="11" l="1"/>
  <c r="T101" i="8"/>
  <c r="S101" i="8" s="1"/>
  <c r="T100" i="8"/>
  <c r="S100" i="8" s="1"/>
  <c r="M97" i="8"/>
  <c r="Q97" i="8" s="1"/>
  <c r="P97" i="8" l="1"/>
  <c r="E20" i="11"/>
  <c r="T95" i="8" l="1"/>
  <c r="S95" i="8" s="1"/>
  <c r="P39" i="8" l="1"/>
  <c r="P33" i="8"/>
  <c r="P23" i="8"/>
  <c r="O113" i="8"/>
  <c r="E19" i="11" s="1"/>
  <c r="N113" i="8"/>
  <c r="L113" i="8"/>
  <c r="P112" i="8"/>
  <c r="T112" i="8"/>
  <c r="S112" i="8" s="1"/>
  <c r="P111" i="8"/>
  <c r="T111" i="8"/>
  <c r="S111" i="8" s="1"/>
  <c r="P110" i="8"/>
  <c r="T110" i="8"/>
  <c r="S110" i="8" s="1"/>
  <c r="M37" i="8" l="1"/>
  <c r="M38" i="8"/>
  <c r="P37" i="8" l="1"/>
  <c r="Q66" i="8"/>
  <c r="P70" i="8"/>
  <c r="P109" i="8" l="1"/>
  <c r="T109" i="8"/>
  <c r="S109" i="8" s="1"/>
  <c r="P108" i="8"/>
  <c r="T108" i="8"/>
  <c r="S108" i="8" s="1"/>
  <c r="P102" i="8" l="1"/>
  <c r="T102" i="8"/>
  <c r="S102" i="8" s="1"/>
  <c r="Q86" i="8" l="1"/>
  <c r="Q85" i="8"/>
  <c r="P86" i="8"/>
  <c r="T86" i="8"/>
  <c r="S86" i="8" s="1"/>
  <c r="M96" i="8" l="1"/>
  <c r="Q98" i="8" l="1"/>
  <c r="T99" i="8"/>
  <c r="S99" i="8" s="1"/>
  <c r="P99" i="8"/>
  <c r="P68" i="8"/>
  <c r="P77" i="8" l="1"/>
  <c r="Q88" i="8" l="1"/>
  <c r="P93" i="8"/>
  <c r="T93" i="8"/>
  <c r="S93" i="8" s="1"/>
  <c r="P14" i="8" l="1"/>
  <c r="T57" i="8" l="1"/>
  <c r="S57" i="8" s="1"/>
  <c r="T62" i="8"/>
  <c r="S62" i="8" s="1"/>
  <c r="T66" i="8"/>
  <c r="S66" i="8" s="1"/>
  <c r="T85" i="8"/>
  <c r="S85" i="8" s="1"/>
  <c r="T87" i="8"/>
  <c r="S87" i="8" s="1"/>
  <c r="T88" i="8"/>
  <c r="S88" i="8" s="1"/>
  <c r="T89" i="8"/>
  <c r="S89" i="8" s="1"/>
  <c r="T90" i="8"/>
  <c r="S90" i="8" s="1"/>
  <c r="T91" i="8"/>
  <c r="S91" i="8" s="1"/>
  <c r="T92" i="8"/>
  <c r="S92" i="8" s="1"/>
  <c r="T98" i="8"/>
  <c r="S98" i="8" s="1"/>
  <c r="T54" i="8"/>
  <c r="S54" i="8" s="1"/>
  <c r="T52" i="8"/>
  <c r="S52" i="8" s="1"/>
  <c r="T48" i="8"/>
  <c r="S48" i="8" s="1"/>
  <c r="T46" i="8"/>
  <c r="S46" i="8" s="1"/>
  <c r="T18" i="8"/>
  <c r="S18" i="8" s="1"/>
  <c r="C7" i="11" l="1"/>
  <c r="P46" i="8" l="1"/>
  <c r="P96" i="8" l="1"/>
  <c r="T96" i="8"/>
  <c r="S96" i="8" s="1"/>
  <c r="Q96" i="8"/>
  <c r="P48" i="8" l="1"/>
  <c r="O115" i="8" l="1"/>
  <c r="P92" i="8" l="1"/>
  <c r="P98" i="8" l="1"/>
  <c r="P87" i="8"/>
  <c r="P89" i="8" l="1"/>
  <c r="P90" i="8"/>
  <c r="P91" i="8"/>
  <c r="P88" i="8" l="1"/>
  <c r="Q87" i="8" l="1"/>
  <c r="P85" i="8"/>
  <c r="T8" i="8" l="1"/>
  <c r="S8" i="8" s="1"/>
  <c r="T6" i="8"/>
  <c r="S6" i="8" s="1"/>
  <c r="M80" i="8" l="1"/>
  <c r="M64" i="8"/>
  <c r="T80" i="8" l="1"/>
  <c r="S80" i="8" s="1"/>
  <c r="P80" i="8"/>
  <c r="Q80" i="8"/>
  <c r="P64" i="8"/>
  <c r="T64" i="8"/>
  <c r="S64" i="8" s="1"/>
  <c r="P6" i="8"/>
  <c r="M5" i="8"/>
  <c r="P5" i="8" l="1"/>
  <c r="T5" i="8"/>
  <c r="S5" i="8" s="1"/>
  <c r="Q5" i="8"/>
  <c r="P8" i="8"/>
  <c r="F7" i="11" l="1"/>
  <c r="H9" i="11" l="1"/>
  <c r="M84" i="8" l="1"/>
  <c r="M83" i="8"/>
  <c r="T83" i="8" s="1"/>
  <c r="S83" i="8" s="1"/>
  <c r="M82" i="8"/>
  <c r="M81" i="8"/>
  <c r="T81" i="8" s="1"/>
  <c r="S81" i="8" s="1"/>
  <c r="M79" i="8"/>
  <c r="T79" i="8" s="1"/>
  <c r="S79" i="8" s="1"/>
  <c r="M75" i="8"/>
  <c r="M74" i="8"/>
  <c r="T74" i="8" s="1"/>
  <c r="S74" i="8" s="1"/>
  <c r="M73" i="8"/>
  <c r="T73" i="8" s="1"/>
  <c r="S73" i="8" s="1"/>
  <c r="M71" i="8"/>
  <c r="T71" i="8" s="1"/>
  <c r="S71" i="8" s="1"/>
  <c r="M65" i="8"/>
  <c r="T65" i="8" s="1"/>
  <c r="S65" i="8" s="1"/>
  <c r="M63" i="8"/>
  <c r="Q63" i="8" s="1"/>
  <c r="M61" i="8"/>
  <c r="M59" i="8"/>
  <c r="P58" i="8" s="1"/>
  <c r="P57" i="8"/>
  <c r="M56" i="8"/>
  <c r="M55" i="8"/>
  <c r="T53" i="8"/>
  <c r="S53" i="8" s="1"/>
  <c r="T51" i="8"/>
  <c r="S51" i="8" s="1"/>
  <c r="M49" i="8"/>
  <c r="M47" i="8"/>
  <c r="M42" i="8"/>
  <c r="M41" i="8"/>
  <c r="T41" i="8" s="1"/>
  <c r="S41" i="8" s="1"/>
  <c r="M40" i="8"/>
  <c r="T40" i="8" s="1"/>
  <c r="S40" i="8" s="1"/>
  <c r="M34" i="8"/>
  <c r="M32" i="8"/>
  <c r="M29" i="8"/>
  <c r="M28" i="8"/>
  <c r="M27" i="8"/>
  <c r="M26" i="8"/>
  <c r="M25" i="8"/>
  <c r="M24" i="8"/>
  <c r="T24" i="8" s="1"/>
  <c r="S24" i="8" s="1"/>
  <c r="M22" i="8"/>
  <c r="M21" i="8"/>
  <c r="M17" i="8"/>
  <c r="T17" i="8" s="1"/>
  <c r="S17" i="8" s="1"/>
  <c r="M16" i="8"/>
  <c r="M15" i="8"/>
  <c r="T15" i="8" s="1"/>
  <c r="S15" i="8" s="1"/>
  <c r="M13" i="8"/>
  <c r="M12" i="8"/>
  <c r="M11" i="8"/>
  <c r="M10" i="8"/>
  <c r="Q55" i="8" l="1"/>
  <c r="M113" i="8"/>
  <c r="T34" i="8"/>
  <c r="S34" i="8" s="1"/>
  <c r="Q34" i="8"/>
  <c r="T10" i="8"/>
  <c r="S10" i="8" s="1"/>
  <c r="Q10" i="8"/>
  <c r="T75" i="8"/>
  <c r="S75" i="8" s="1"/>
  <c r="Q75" i="8"/>
  <c r="P20" i="8"/>
  <c r="T20" i="8"/>
  <c r="S20" i="8" s="1"/>
  <c r="P22" i="8"/>
  <c r="T22" i="8"/>
  <c r="S22" i="8" s="1"/>
  <c r="P25" i="8"/>
  <c r="T25" i="8"/>
  <c r="S25" i="8" s="1"/>
  <c r="P27" i="8"/>
  <c r="T27" i="8"/>
  <c r="S27" i="8" s="1"/>
  <c r="P29" i="8"/>
  <c r="T29" i="8"/>
  <c r="S29" i="8" s="1"/>
  <c r="P31" i="8"/>
  <c r="T31" i="8"/>
  <c r="S31" i="8" s="1"/>
  <c r="P36" i="8"/>
  <c r="T36" i="8"/>
  <c r="S36" i="8" s="1"/>
  <c r="T42" i="8"/>
  <c r="S42" i="8" s="1"/>
  <c r="Q42" i="8"/>
  <c r="P49" i="8"/>
  <c r="T49" i="8"/>
  <c r="S49" i="8" s="1"/>
  <c r="P61" i="8"/>
  <c r="T61" i="8"/>
  <c r="S61" i="8" s="1"/>
  <c r="P12" i="8"/>
  <c r="T12" i="8"/>
  <c r="S12" i="8" s="1"/>
  <c r="P11" i="8"/>
  <c r="T11" i="8"/>
  <c r="S11" i="8" s="1"/>
  <c r="P13" i="8"/>
  <c r="T13" i="8"/>
  <c r="S13" i="8" s="1"/>
  <c r="P16" i="8"/>
  <c r="T16" i="8"/>
  <c r="S16" i="8" s="1"/>
  <c r="P19" i="8"/>
  <c r="T19" i="8"/>
  <c r="S19" i="8" s="1"/>
  <c r="P21" i="8"/>
  <c r="T21" i="8"/>
  <c r="S21" i="8" s="1"/>
  <c r="P26" i="8"/>
  <c r="T26" i="8"/>
  <c r="S26" i="8" s="1"/>
  <c r="P28" i="8"/>
  <c r="T28" i="8"/>
  <c r="S28" i="8" s="1"/>
  <c r="P30" i="8"/>
  <c r="T30" i="8"/>
  <c r="S30" i="8" s="1"/>
  <c r="P32" i="8"/>
  <c r="T32" i="8"/>
  <c r="S32" i="8" s="1"/>
  <c r="P35" i="8"/>
  <c r="T35" i="8"/>
  <c r="S35" i="8" s="1"/>
  <c r="T37" i="8"/>
  <c r="S37" i="8" s="1"/>
  <c r="Q47" i="8"/>
  <c r="T47" i="8"/>
  <c r="S47" i="8" s="1"/>
  <c r="T55" i="8"/>
  <c r="S55" i="8" s="1"/>
  <c r="P56" i="8"/>
  <c r="T56" i="8"/>
  <c r="S56" i="8" s="1"/>
  <c r="T59" i="8"/>
  <c r="S59" i="8" s="1"/>
  <c r="T63" i="8"/>
  <c r="S63" i="8" s="1"/>
  <c r="P82" i="8"/>
  <c r="T82" i="8"/>
  <c r="S82" i="8" s="1"/>
  <c r="P84" i="8"/>
  <c r="T84" i="8"/>
  <c r="S84" i="8" s="1"/>
  <c r="P17" i="8"/>
  <c r="C8" i="11"/>
  <c r="C10" i="11" s="1"/>
  <c r="P47" i="8"/>
  <c r="P55" i="8"/>
  <c r="P51" i="8"/>
  <c r="Q51" i="8"/>
  <c r="P63" i="8"/>
  <c r="Q73" i="8"/>
  <c r="P73" i="8"/>
  <c r="Q81" i="8"/>
  <c r="P81" i="8"/>
  <c r="P10" i="8"/>
  <c r="P15" i="8"/>
  <c r="Q15" i="8"/>
  <c r="Q24" i="8"/>
  <c r="P24" i="8"/>
  <c r="P66" i="8"/>
  <c r="P75" i="8"/>
  <c r="Q83" i="8"/>
  <c r="P83" i="8"/>
  <c r="Q41" i="8"/>
  <c r="P41" i="8"/>
  <c r="P42" i="8"/>
  <c r="P53" i="8"/>
  <c r="Q53" i="8"/>
  <c r="Q65" i="8"/>
  <c r="P65" i="8"/>
  <c r="Q74" i="8"/>
  <c r="P74" i="8"/>
  <c r="P34" i="8"/>
  <c r="Q40" i="8"/>
  <c r="P40" i="8"/>
  <c r="Q71" i="8"/>
  <c r="P71" i="8"/>
  <c r="P79" i="8"/>
  <c r="Q79" i="8"/>
  <c r="T113" i="8" l="1"/>
  <c r="S113" i="8" s="1"/>
  <c r="E7" i="11"/>
  <c r="E16" i="11" s="1"/>
  <c r="Q113" i="8"/>
  <c r="E10" i="11" l="1"/>
  <c r="E21" i="11" s="1"/>
  <c r="F10" i="11"/>
  <c r="G7" i="11"/>
  <c r="D7" i="11"/>
  <c r="G10" i="11" l="1"/>
  <c r="I8" i="11"/>
  <c r="H8" i="11"/>
  <c r="D10" i="11"/>
  <c r="P113" i="8"/>
  <c r="H7" i="11" l="1"/>
  <c r="I7" i="11"/>
  <c r="I10" i="11" l="1"/>
  <c r="H10" i="1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<sst xmlns="http://schemas.openxmlformats.org/spreadsheetml/2006/main" count="1253" uniqueCount="713">
  <si>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</si>
  <si>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</si>
  <si>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</si>
  <si>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</si>
  <si>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</si>
  <si>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</si>
  <si>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</si>
  <si>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</si>
  <si>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</si>
  <si>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</si>
  <si>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</si>
  <si>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</si>
  <si>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</si>
  <si>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</si>
  <si>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</si>
  <si>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</si>
  <si>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</si>
  <si>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</si>
  <si>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</si>
  <si>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</si>
  <si>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</si>
  <si>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</si>
  <si>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</si>
  <si>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</si>
  <si>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</si>
  <si>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</si>
  <si>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</si>
  <si>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</si>
  <si>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</si>
  <si>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</si>
  <si>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</si>
  <si>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</si>
  <si>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</si>
  <si>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</si>
  <si>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</si>
  <si>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</si>
  <si>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</si>
  <si>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</si>
  <si>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</si>
  <si>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</si>
  <si>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</si>
  <si>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</si>
  <si>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</si>
  <si>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</si>
  <si>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</si>
  <si>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</si>
  <si>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</si>
  <si>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</si>
  <si>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</si>
  <si>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</si>
  <si>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</si>
  <si>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</si>
  <si>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</si>
  <si>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</si>
  <si>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</si>
  <si>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</si>
  <si>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</si>
  <si>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</si>
  <si>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</si>
  <si>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</si>
  <si>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</si>
  <si>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</si>
  <si>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</si>
  <si>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</si>
  <si>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</si>
  <si>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</si>
  <si>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</si>
  <si>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</si>
  <si>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</si>
  <si>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</si>
  <si>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</si>
  <si>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</si>
  <si>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</si>
  <si>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</si>
  <si>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</si>
  <si>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</si>
  <si>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</si>
  <si>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</si>
  <si>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</si>
  <si>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</si>
  <si>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</si>
  <si>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</si>
  <si>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</si>
  <si>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</si>
  <si>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</si>
  <si>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</si>
  <si>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</si>
  <si>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</si>
  <si>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</si>
  <si>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</si>
  <si>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</si>
  <si>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</si>
  <si>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</si>
  <si>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</si>
  <si>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</si>
  <si>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</si>
  <si>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</si>
  <si>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</si>
  <si>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</si>
  <si>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</si>
  <si>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</si>
  <si>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</si>
  <si>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</si>
  <si>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</si>
  <si>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</si>
  <si>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</si>
  <si>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</si>
  <si>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</si>
  <si>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</si>
  <si>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</si>
  <si>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</si>
  <si>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</si>
  <si>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</si>
  <si>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</si>
  <si>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</si>
  <si>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</si>
  <si>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</si>
  <si>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</si>
  <si>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</si>
  <si>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</si>
  <si>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</si>
  <si>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</si>
  <si>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</si>
  <si>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</si>
  <si>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</si>
  <si>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</si>
  <si>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</si>
  <si>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</si>
  <si>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</si>
  <si>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</si>
  <si>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</si>
  <si>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</si>
  <si>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</si>
  <si>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</si>
  <si>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</si>
  <si>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</si>
  <si>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</si>
  <si>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</si>
  <si>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výši pokuty nelze předvídat</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</si>
  <si>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</si>
  <si>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</si>
  <si>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</si>
  <si>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</si>
  <si>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</si>
  <si>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</si>
  <si>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</si>
  <si>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</si>
  <si>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</si>
  <si>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14.3.2013-28.7.2015</t>
  </si>
  <si>
    <t>OPLZZ</t>
  </si>
  <si>
    <t>1.6.2012-31.5.2015</t>
  </si>
  <si>
    <t>ÚRR zkrácení dotace</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</si>
  <si>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</si>
  <si>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</si>
  <si>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</si>
  <si>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</si>
  <si>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</si>
  <si>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</si>
  <si>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</si>
  <si>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</si>
  <si>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</si>
  <si>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</si>
  <si>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</si>
  <si>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</si>
  <si>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</si>
  <si>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</si>
  <si>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</si>
  <si>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</si>
  <si>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</si>
  <si>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</si>
  <si>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</si>
  <si>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</si>
  <si>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</si>
  <si>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</si>
  <si>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</si>
  <si>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</si>
  <si>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Ing. Jan Zborník/ Ing. Petr Navrátil</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</si>
  <si>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</si>
  <si>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</si>
  <si>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</si>
  <si>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</si>
  <si>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</si>
  <si>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</si>
  <si>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</si>
  <si>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</si>
  <si>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</si>
  <si>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</si>
  <si>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</si>
  <si>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</si>
  <si>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</si>
  <si>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</si>
  <si>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</si>
  <si>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</si>
  <si>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</si>
  <si>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</si>
  <si>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</si>
  <si>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</si>
  <si>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</si>
  <si>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</si>
  <si>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</si>
  <si>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</si>
  <si>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</si>
  <si>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</si>
  <si>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</si>
  <si>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</si>
  <si>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</si>
  <si>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</si>
  <si>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</si>
  <si>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</si>
  <si>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</si>
  <si>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</si>
  <si>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</si>
  <si>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</si>
  <si>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</si>
  <si>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</si>
  <si>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1.1.2009-31.8.2012, není  finančně ukončen</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</si>
  <si>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</si>
  <si>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</si>
  <si>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</si>
  <si>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</si>
  <si>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</si>
  <si>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</si>
  <si>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</si>
  <si>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</si>
  <si>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</si>
  <si>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</si>
  <si>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</si>
  <si>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</si>
  <si>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</si>
  <si>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</si>
  <si>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</si>
  <si>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</si>
  <si>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</si>
  <si>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</si>
  <si>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</si>
  <si>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</si>
  <si>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</si>
  <si>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</si>
  <si>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</si>
  <si>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</si>
  <si>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</si>
  <si>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</si>
  <si>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</si>
  <si>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</si>
  <si>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</si>
  <si>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</si>
  <si>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</si>
  <si>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</si>
  <si>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</si>
  <si>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</si>
  <si>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</si>
  <si>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</si>
  <si>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</si>
  <si>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</si>
  <si>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</si>
  <si>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</si>
  <si>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</si>
  <si>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</si>
  <si>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</si>
  <si>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</si>
  <si>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</si>
  <si>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</si>
  <si>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</si>
  <si>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</si>
  <si>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</si>
  <si>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</si>
  <si>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</si>
  <si>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</si>
  <si>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</si>
  <si>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</si>
  <si>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</si>
  <si>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</si>
  <si>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</si>
  <si>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</si>
  <si>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</si>
  <si>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</si>
  <si>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</si>
  <si>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</si>
  <si>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</si>
  <si>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</si>
  <si>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</si>
  <si>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</si>
  <si>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3 veřejných zakázkách -dělení veřejných zakázek; chybný postup při zadávání víceprací</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</si>
  <si>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</si>
  <si>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</si>
  <si>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</si>
  <si>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</si>
  <si>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</si>
  <si>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</si>
  <si>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</si>
  <si>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</si>
  <si>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</si>
  <si>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</si>
  <si>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</si>
  <si>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</si>
  <si>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</si>
  <si>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</si>
  <si>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</si>
  <si>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</si>
  <si>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</si>
  <si>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</si>
  <si>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</si>
  <si>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 xml:space="preserve">     viz součet sl. 4 v tabulce č. 1</t>
  </si>
  <si>
    <t xml:space="preserve">     viz usnesení č. ZKK 196/08/13 ze dne 19. 8. 2013</t>
  </si>
  <si>
    <t xml:space="preserve">     podrobněji viz příloha č. 1 a č. 2</t>
  </si>
  <si>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</si>
  <si>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</si>
  <si>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</si>
  <si>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</si>
  <si>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</si>
  <si>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</si>
  <si>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</si>
  <si>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</si>
  <si>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</si>
  <si>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</si>
  <si>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</si>
  <si>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</si>
  <si>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</si>
  <si>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</si>
  <si>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</si>
  <si>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</si>
  <si>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</si>
  <si>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</si>
  <si>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</si>
  <si>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</si>
  <si>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</si>
  <si>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</si>
  <si>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Atlas zajímavostí v Karlovarském kraji 
CZ.04.1.05/4.132.1/1795
v rámci grantového schematu
Podpora místních a regionálních služeb cestovního ruchu v KK pro veřejné subjekty
CZ.04.1.05/4.132.1</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</si>
  <si>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</si>
  <si>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</si>
  <si>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</si>
  <si>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</si>
  <si>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</si>
  <si>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</si>
  <si>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 xml:space="preserve">ÚOHS bude předána dokumentace k přezkoumání veřejné zakázky - nedodržení lhůty 15 dnů pro uveřejnění dodatku smlouvy o dílo </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</si>
  <si>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</si>
  <si>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</si>
  <si>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</si>
  <si>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</si>
  <si>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</si>
  <si>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</si>
  <si>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</si>
  <si>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MPSV
zkrácení dotace/ platební výměr</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</si>
  <si>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</si>
  <si>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</si>
  <si>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</si>
  <si>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</si>
  <si>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</si>
  <si>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</si>
  <si>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</si>
  <si>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</si>
  <si>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</si>
  <si>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</si>
  <si>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</si>
  <si>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1.3.2015 - 30.10.2015</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</si>
  <si>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</si>
  <si>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</si>
  <si>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</si>
  <si>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</si>
  <si>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</si>
  <si>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</si>
  <si>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</si>
  <si>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</si>
  <si>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</si>
  <si>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</si>
  <si>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</si>
  <si>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</si>
  <si>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</si>
  <si>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</si>
  <si>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</si>
  <si>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</si>
  <si>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</si>
  <si>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</si>
  <si>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</si>
  <si>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</si>
  <si>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</si>
  <si>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</si>
  <si>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</si>
  <si>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</si>
  <si>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</si>
  <si>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</si>
  <si>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</si>
  <si>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</si>
  <si>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</si>
  <si>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</si>
  <si>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</si>
  <si>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</si>
  <si>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</si>
  <si>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</si>
  <si>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</si>
  <si>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</si>
  <si>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</si>
  <si>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</si>
  <si>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</si>
  <si>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</si>
  <si>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</si>
  <si>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</si>
  <si>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</si>
  <si>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</si>
  <si>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</si>
  <si>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</si>
  <si>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</si>
  <si>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 xml:space="preserve">ÚRR                                     penále </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</si>
  <si>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</si>
  <si>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</si>
  <si>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</si>
  <si>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</si>
  <si>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Fa č.1506148 ve výši 1.820.007,72Kč a fa č. 1506168 ve výši 2.569.568,23 Kč byly uhrazeny po ukončení fyzické realizace projektu</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</si>
  <si>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</si>
  <si>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</si>
  <si>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</si>
  <si>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</si>
  <si>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</si>
  <si>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</si>
  <si>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</si>
  <si>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</si>
  <si>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</si>
  <si>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</si>
  <si>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</si>
  <si>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</si>
  <si>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</si>
  <si>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</si>
  <si>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</si>
  <si>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</si>
  <si>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</si>
  <si>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</si>
  <si>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</si>
  <si>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</si>
  <si>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</si>
  <si>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</si>
  <si>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</si>
  <si>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</si>
  <si>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</si>
  <si>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</si>
  <si>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</si>
  <si>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</si>
  <si>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</si>
  <si>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</si>
  <si>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</si>
  <si>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</si>
  <si>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</si>
  <si>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</si>
  <si>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</si>
  <si>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</si>
  <si>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ukončení projektu do 31.10.2015</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</si>
  <si>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</si>
  <si>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</si>
  <si>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</si>
  <si>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</si>
  <si>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</si>
  <si>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</si>
  <si>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</si>
  <si>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</si>
  <si>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10.5.2016 ÚRR Výzva k vrácení dotace dotčené nesrovnalostí, uhrazeno 24.5.2016;
schv.usn.č.RK 586/05/16</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</si>
  <si>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</si>
  <si>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</si>
  <si>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</si>
  <si>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</si>
  <si>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</si>
  <si>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</si>
  <si>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</si>
  <si>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</si>
  <si>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porušení pravidel stanoveným Implementačním dokumentem OPŽP, v dokumentu je uvedeno, že projekt bude ukončen  vyhlášením Evropsky významné lokality, což se nestalo</t>
  </si>
  <si>
    <t>zatím nelze stanovit výši</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</si>
  <si>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</si>
  <si>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</si>
  <si>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u PO sl. 4 - nejedná se o součet sl. 5 a sl. 6, neboť u projektu PO_03 byl vyměřen a uhrazen odvod (sl. 5) ve vyšší částce, než je aktuální výše zjištěného pochybení (sl. 4), očekáváme vratku vratitelného přeplatku - z důvodu transparentnosti poskytovaných dat uvedeny veškeré údaje a částky, více k projektu v příloze č. 2</t>
  </si>
  <si>
    <r>
      <t xml:space="preserve">     podrobněji viz příloha č. 1 a č. 2, </t>
    </r>
    <r>
      <rPr>
        <sz val="12"/>
        <color theme="3" tint="0.39997558519241921"/>
        <rFont val="Calibri"/>
        <family val="2"/>
        <charset val="238"/>
        <scheme val="minor"/>
      </rPr>
      <t>včetně nevrácené vratky u PO 03</t>
    </r>
  </si>
  <si>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</si>
  <si>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</si>
  <si>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</si>
  <si>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</si>
  <si>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</si>
  <si>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</si>
  <si>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</si>
  <si>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</si>
  <si>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</si>
  <si>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</si>
  <si>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</si>
  <si>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</si>
  <si>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</si>
  <si>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</si>
  <si>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</si>
  <si>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33 160 392,00
podána žádost o vratku přeplatku v uvedené výši
1,39 
nedoplatek ÚRR za chybně vrácené vratky za zrušené PV 21/2013 a PV 22/2013,
podána žádost o vrácení zbylé části přeplatku včetně úroků za oba PV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</si>
  <si>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</si>
  <si>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</si>
  <si>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</si>
  <si>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</si>
  <si>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</si>
  <si>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</si>
  <si>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</si>
  <si>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</si>
  <si>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</si>
  <si>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</si>
  <si>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</si>
  <si>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</si>
  <si>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</si>
  <si>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</si>
  <si>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</si>
  <si>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</si>
  <si>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</si>
  <si>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</si>
  <si>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</si>
  <si>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</si>
  <si>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</si>
  <si>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</si>
  <si>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</si>
  <si>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</si>
  <si>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</si>
  <si>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</si>
  <si>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</si>
  <si>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</si>
  <si>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</si>
  <si>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</si>
  <si>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r>
      <t>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8.505,-Kč; 8.11.2016 FÚ vyrozumění o postoupení na Gener.fin.ředitelství</t>
    </r>
    <r>
      <rPr>
        <b/>
        <sz val="16"/>
        <rFont val="Calibri"/>
        <family val="2"/>
        <charset val="238"/>
        <scheme val="minor"/>
      </rPr>
      <t xml:space="preserve">
ŽÁDOST O PROMINUTÍ ODVODU NA GENER.FIN.ŘEDITELSTVÍ</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</si>
  <si>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11.771,-Kč; 8.11.2016 FÚ vyrozumění o postoupení na Gener.fin.ředitelství
</t>
    </r>
    <r>
      <rPr>
        <b/>
        <sz val="16"/>
        <rFont val="Calibri"/>
        <family val="2"/>
        <charset val="238"/>
        <scheme val="minor"/>
      </rPr>
      <t>ŽÁDOST O PROMINUTÍ ODVODU NA GENER.FIN.ŘEDITELSTVÍ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</si>
  <si>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6"/>
        <rFont val="Calibri"/>
        <family val="2"/>
        <charset val="238"/>
        <scheme val="minor"/>
      </rPr>
      <t>ODVOLÁNÍ PROTI PV</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</si>
  <si>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63.267.368,-Kč ponížený o PV ve výši 1.225.412,-Kč a výzvu ve výši 2.151,22 Kč), proto uhrazený PV a výzva zařazeny do této buňky;
odvolání podal na ÚRR KK dne 26.9.2016;
15.11.2016 odeslána na ÚRR žádost o prominutí odvodu a dosud nevym.penále 
</t>
    </r>
    <r>
      <rPr>
        <b/>
        <sz val="16"/>
        <rFont val="Calibri"/>
        <family val="2"/>
        <charset val="238"/>
        <scheme val="minor"/>
      </rPr>
      <t>ODVOLÁNÍ PROTI PV NA ÚRR
ŽÁDOST O PROMINUTÍ ODVODU A DOSUD NEVYM.PENÁLE U ÚRR</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</si>
  <si>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t>
    </r>
    <r>
      <rPr>
        <b/>
        <sz val="16"/>
        <rFont val="Calibri"/>
        <family val="2"/>
        <charset val="238"/>
        <scheme val="minor"/>
      </rPr>
      <t>ODVOLÁNÍ PROTI PV U ODVOLACÍHO FIN.ŘED.
ŽÁDOST O PROMINUTÍ PENALE NA GENER.FIN.ŘED.</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</si>
  <si>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t>
    </r>
    <r>
      <rPr>
        <b/>
        <sz val="16"/>
        <rFont val="Calibri"/>
        <family val="2"/>
        <charset val="238"/>
        <scheme val="minor"/>
      </rPr>
      <t>ODVOLÁNÍ PROTI PV U ODVOLACÍHO FIN.ŘEDITELSTVÍ
ŽÁDOST O PROMINUTÍ PENÁLE NA GENER.FIN.ŘEDITELSTVÍ</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</si>
  <si>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t>
    </r>
    <r>
      <rPr>
        <b/>
        <sz val="16"/>
        <rFont val="Calibri"/>
        <family val="2"/>
        <charset val="238"/>
        <scheme val="minor"/>
      </rPr>
      <t>ODVOLÁNÍ PROTI PV U ODVOLACÍHO FIN.ŘEDITELSTVÍ
ŽÁDOST O PROMINUTÍ PENÁLE NA GENER.FIN.ŘEDITELSTVÍ</t>
    </r>
  </si>
  <si>
    <r>
      <t xml:space="preserve">oznamovacím dopisem ze dne 28.2.2013 byl projekt pozastaven z důvodů šetření nesrovnalostí;
</t>
    </r>
    <r>
      <rPr>
        <b/>
        <sz val="16"/>
        <color theme="1"/>
        <rFont val="Calibri"/>
        <family val="2"/>
        <charset val="238"/>
        <scheme val="minor"/>
      </rPr>
      <t>PROJEKT POZASTAVEN</t>
    </r>
    <r>
      <rPr>
        <sz val="11"/>
        <color theme="1"/>
        <rFont val="Calibri"/>
        <family val="2"/>
        <charset val="238"/>
        <scheme val="minor"/>
      </rPr>
      <t xml:space="preserve">
</t>
    </r>
  </si>
  <si>
    <r>
      <t xml:space="preserve">FÚ penále dosud nevyměřil,  penále bude ve výši 1 promile z částky odvodu za každý den prodlení, penále bude zřejmě ve 100% výši, KK bude žádat o prominutí penále
</t>
    </r>
    <r>
      <rPr>
        <b/>
        <sz val="16"/>
        <color theme="1"/>
        <rFont val="Calibri"/>
        <family val="2"/>
        <charset val="238"/>
        <scheme val="minor"/>
      </rPr>
      <t>OČEKÁVÁME PV NA PENÁLE</t>
    </r>
  </si>
  <si>
    <r>
      <t xml:space="preserve">12.7.2016 se KK vyjádřil k předmětné věci na SFŽP
</t>
    </r>
    <r>
      <rPr>
        <b/>
        <sz val="16"/>
        <color theme="1"/>
        <rFont val="Calibri"/>
        <family val="2"/>
        <charset val="238"/>
        <scheme val="minor"/>
      </rPr>
      <t>OČEKÁVÁME VYDÁNÍ VÝZVY</t>
    </r>
  </si>
  <si>
    <r>
      <t xml:space="preserve">16.11.2016 z ÚRR Oznámení o zahájení kontroly; 8.2.2017 ÚRR Protokol o kontrole - bez zjištění
</t>
    </r>
    <r>
      <rPr>
        <b/>
        <sz val="16"/>
        <color theme="1"/>
        <rFont val="Calibri"/>
        <family val="2"/>
        <charset val="238"/>
        <scheme val="minor"/>
      </rPr>
      <t>ÚRR PROTOKOL O KONTROLE - BEZ ZJIŠTĚNÍ</t>
    </r>
  </si>
  <si>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</si>
  <si>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</si>
  <si>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</si>
  <si>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</si>
  <si>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r>
      <t xml:space="preserve">platební výměry doručeny 1/2014;
6.2.2014 podaná odvolání proti platebním výměrům;  platební výměry dosud nenabyly právní moci
25.6.2014 odeslány finanční prostředky na úhradu PV na KSÚS
</t>
    </r>
    <r>
      <rPr>
        <b/>
        <sz val="11"/>
        <color theme="1"/>
        <rFont val="Calibri"/>
        <family val="2"/>
        <charset val="238"/>
        <scheme val="minor"/>
      </rPr>
      <t>PŘÍPRAVA NÁVRHU NA SPOR Z VEŘEJNOPRÁVNÍ SMLOUVY PRO PENĚŽITÉ PLNĚNÍ</t>
    </r>
  </si>
  <si>
    <r>
      <t xml:space="preserve">rozhodnutím ÚOHS z 15.1.2015 snížena pokuta na 200 000,-- Kč; 28.1.2015 podán proti rozhodnutí rozklad;
4.1.2016 Rozhodnutí ÚOHS - zrušena pokuta, zastaveno správní řízení
</t>
    </r>
    <r>
      <rPr>
        <b/>
        <sz val="11"/>
        <color theme="1"/>
        <rFont val="Calibri"/>
        <family val="2"/>
        <charset val="238"/>
        <scheme val="minor"/>
      </rPr>
      <t>KONEČNÝ STAV - POSTIH ZRUŠEN</t>
    </r>
  </si>
  <si>
    <t>APDM, p.o.</t>
  </si>
  <si>
    <r>
      <t xml:space="preserve">proveden přesun do nezpůsobilých výdajů- není pokryto dotací;  zbývající část dotace byla poskytnuta v 9/2014; 
</t>
    </r>
    <r>
      <rPr>
        <b/>
        <sz val="11"/>
        <color theme="1"/>
        <rFont val="Calibri"/>
        <family val="2"/>
        <charset val="238"/>
        <scheme val="minor"/>
      </rPr>
      <t>30.3.2015</t>
    </r>
    <r>
      <rPr>
        <sz val="11"/>
        <color theme="1"/>
        <rFont val="Calibri"/>
        <family val="2"/>
        <charset val="238"/>
        <scheme val="minor"/>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color theme="1"/>
        <rFont val="Calibri"/>
        <family val="2"/>
        <charset val="238"/>
        <scheme val="minor"/>
      </rPr>
      <t xml:space="preserve">samostatném řízení; </t>
    </r>
    <r>
      <rPr>
        <sz val="11"/>
        <color theme="1"/>
        <rFont val="Calibri"/>
        <family val="2"/>
        <charset val="238"/>
        <scheme val="minor"/>
      </rPr>
      <t xml:space="preserve">16.6.2015 doručeno vyjádření ÚRR ve věci sporu, 24.6.2015  odesláno na MF ČR  stanovisko ISŠTE; 
11.5.2015 zahájen MF ČR audit operace za II.etapu projektu;
31.8.2015 doručeno </t>
    </r>
    <r>
      <rPr>
        <b/>
        <sz val="11"/>
        <color theme="1"/>
        <rFont val="Calibri"/>
        <family val="2"/>
        <charset val="238"/>
        <scheme val="minor"/>
      </rPr>
      <t>rozhodnutí MF ČR ve prospěch ISŠTE</t>
    </r>
    <r>
      <rPr>
        <sz val="11"/>
        <color theme="1"/>
        <rFont val="Calibri"/>
        <family val="2"/>
        <charset val="238"/>
        <scheme val="minor"/>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t>
    </r>
    <r>
      <rPr>
        <b/>
        <sz val="11"/>
        <color theme="1"/>
        <rFont val="Calibri"/>
        <family val="2"/>
        <charset val="238"/>
        <scheme val="minor"/>
      </rPr>
      <t>OČEKÁVÁ SE ROZHODNUTÍ SPORU PRO PENĚŽITÉ PLNĚNÍ MINISTERSTVEM FINANCÍ</t>
    </r>
  </si>
  <si>
    <r>
      <t xml:space="preserve">30.7.2014 ÚRR zahájil daňové řízení, 19.8.2014 zasláno na ÚRR podání ve věci daňového řízení; 
</t>
    </r>
    <r>
      <rPr>
        <sz val="11"/>
        <rFont val="Calibri"/>
        <family val="2"/>
        <charset val="238"/>
        <scheme val="minor"/>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scheme val="minor"/>
      </rPr>
      <t>OČEKÁVÁME ROZHODNUTÍ POSKYTOVATELE DOTACE O PROMINUTÍ ODVODU A ROZHODNUTÍ MINISTERSTVA FINANCÍ O ODVOLÁNÍ PROTI PLATEBNÍMU VÝMĚRU</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</si>
  <si>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</si>
  <si>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</si>
  <si>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</si>
  <si>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t>bfz – vzdělávací akademie, s.r.o.</t>
  </si>
  <si>
    <r>
      <t xml:space="preserve">12.8.2010 ukončena veřejnosprávní kontrola - námitkám nebylo vyhověno;
11.5.2012 oznámení MMR ČR o provedení korekce; 
projekt není dosud  finančně vypořádán, </t>
    </r>
    <r>
      <rPr>
        <b/>
        <sz val="11"/>
        <color theme="1"/>
        <rFont val="Calibri"/>
        <family val="2"/>
        <charset val="238"/>
        <scheme val="minor"/>
      </rPr>
      <t>výše nezpůsobilých výdajů navýšena dle vyúčtování projektu o další výdaje krácené mimo VSK</t>
    </r>
    <r>
      <rPr>
        <sz val="11"/>
        <color theme="1"/>
        <rFont val="Calibri"/>
        <family val="2"/>
        <charset val="238"/>
        <scheme val="minor"/>
      </rPr>
      <t xml:space="preserve"> (chybně proplacené výdaje apod.)
Pracovní skupina pro finanční postihy se o navýšení nezpůsobilých výdajů dověděla až po při vyúčtování projektu
</t>
    </r>
    <r>
      <rPr>
        <b/>
        <sz val="11"/>
        <color theme="1"/>
        <rFont val="Calibri"/>
        <family val="2"/>
        <charset val="238"/>
        <scheme val="minor"/>
      </rPr>
      <t>KONEČNÝ STAV - PROTI KRÁCENÍ JIŽ NENÍ PŘÍPUSNÁ DALŠÍ OBRANA, ODBOR ŠKOLSTVÍ PŘIPRAVUJE VYÚČTOVÁNÍ PROJEKTU PRO RKK A ZKK</t>
    </r>
  </si>
  <si>
    <r>
      <t xml:space="preserve">rozhodnutí o pokutě z 4.4.2012; pokutu ÚOHS uhradil ředitel školy - rozhodnutí škodní komise ze dne 21.5.2012; datum úhrady 20.6.2012
</t>
    </r>
    <r>
      <rPr>
        <b/>
        <sz val="11"/>
        <color theme="1"/>
        <rFont val="Calibri"/>
        <family val="2"/>
        <charset val="238"/>
        <scheme val="minor"/>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</si>
  <si>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theme="1"/>
        <rFont val="Calibri"/>
        <family val="2"/>
        <charset val="238"/>
        <scheme val="minor"/>
      </rPr>
      <t>OČEKÁVÁME ROZHODNUTÍ MINISTERSTVA FINANCÍ VE VĚCI SPORU PRO PENĚŽITÉ A NEPENĚŽITÉ PLNĚNÍ</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</si>
  <si>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theme="1"/>
        <rFont val="Calibri"/>
        <family val="2"/>
        <charset val="238"/>
        <scheme val="minor"/>
      </rPr>
      <t>OČEKÁVÁME ROZHODNUTÍ MINISTERSTVA FINANCÍ O ODVOLÁNÍ PROTI PLATEBNÍMU VÝMĚRU A ROZHODNUTÍ  POSKYTOVATELE DOTACE VE VĚCI PROMINUTÍ PENÁLE</t>
    </r>
  </si>
  <si>
    <r>
      <t xml:space="preserve">rozhodnutí o pokutě z 10.6.2014; KKN a.s. rozklad nepodávala, KKN pokutu uhradila
</t>
    </r>
    <r>
      <rPr>
        <b/>
        <sz val="11"/>
        <color theme="1"/>
        <rFont val="Calibri"/>
        <family val="2"/>
        <charset val="238"/>
        <scheme val="minor"/>
      </rPr>
      <t>KONEČNÝ STAV - ULOŽENÁ POKUTA JE DEFINITIVNÍ</t>
    </r>
  </si>
  <si>
    <r>
      <t xml:space="preserve">rozhodnutí o pokutě z 13.1.2014; KKN a.s. pokutu uhradila
</t>
    </r>
    <r>
      <rPr>
        <b/>
        <sz val="11"/>
        <color theme="1"/>
        <rFont val="Calibri"/>
        <family val="2"/>
        <charset val="238"/>
        <scheme val="minor"/>
      </rPr>
      <t>KONEČNÝ STAV - ULOŽENÁ POKUTA JE DEFINITIVNÍ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</si>
  <si>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color theme="1"/>
        <rFont val="Calibri"/>
        <family val="2"/>
        <charset val="238"/>
        <scheme val="minor"/>
      </rPr>
      <t>PŘÍPRAVA NÁVRHU NA SPOR Z VEŘEJNOPRÁVNÍ SMLOUVY PRO PENĚŽITÉ PLNĚNÍ</t>
    </r>
  </si>
  <si>
    <t>na ÚOHS předána dokumentace k přezkoumání veřejné zakázky - nebyly shledány důvody pro zahájení správního řízení</t>
  </si>
  <si>
    <r>
      <t xml:space="preserve">30.1.2015 si ÚOHS vyžádal dokumentaci, 9.2.2015 zasláno na ÚOHS stanovisko k podanému podnětu
3.8.2015 Výsledek šetření UOHS - nebyly shledány důvody pro zahájení spor.řízení
</t>
    </r>
    <r>
      <rPr>
        <b/>
        <sz val="11"/>
        <color theme="1"/>
        <rFont val="Calibri"/>
        <family val="2"/>
        <charset val="238"/>
        <scheme val="minor"/>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</si>
  <si>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PŘÍPRAVA NÁVRHU NA SPOR Z VEŘEJNOPRÁVNÍ SMLOUVY PRO PENĚŽITÉ PLNĚNÍ</t>
    </r>
  </si>
  <si>
    <r>
      <t xml:space="preserve">ÚOHS si dne 13.3.2015 vyžádal zaslání písemného vyjádření k podnětu a zaslání dokumentace k VZ; 
18.3.2015 na ÚOHS odesláno vyjádření a dokumentace k VZ; </t>
    </r>
    <r>
      <rPr>
        <sz val="11"/>
        <color theme="1"/>
        <rFont val="Calibri"/>
        <family val="2"/>
        <charset val="238"/>
        <scheme val="minor"/>
      </rPr>
      <t xml:space="preserve">24.4.2015 ÚOHS oznámení o zahájení správního řízení čj: ÚOHS-S245/2015/VZ-10117/2015/543/Jwe
29.4.2015 odesláno stanovisko  na ÚOHS
</t>
    </r>
    <r>
      <rPr>
        <b/>
        <sz val="11"/>
        <color theme="1"/>
        <rFont val="Calibri"/>
        <family val="2"/>
        <charset val="238"/>
        <scheme val="minor"/>
      </rPr>
      <t>OČEKÁVÁME ROZHODNUTÍ OÚHS O POKUTĚ</t>
    </r>
  </si>
  <si>
    <r>
      <t xml:space="preserve">20.12.2016 doručena Zpráva o auditu operace ROPSZ/2016/O/027 ze dne 19.12.2016, auditované prostředky byly ve výši 38.554.947,51.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t>
    </r>
    <r>
      <rPr>
        <b/>
        <sz val="11"/>
        <color theme="1"/>
        <rFont val="Calibri"/>
        <family val="2"/>
        <charset val="238"/>
        <scheme val="minor"/>
      </rPr>
      <t>OČEKÁVÁME ZAHÁJENÍ DAŇOVÉHO ŘÍZENÍ A VYSTAVENÍ PLATEBNÍHO VÝMĚRU</t>
    </r>
  </si>
  <si>
    <t>nejedná se o projekt</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</si>
  <si>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(23 661 620,-- Kč)  
Odstoupení od projektu bylo schváleno RKK 1352/12/14. Vratka dotace uhrazena dne 20.2.2015 na účet poskytovatele.
Od projektu bylo odstoupeno, nelze se jakkoliv bránit.
</t>
    </r>
    <r>
      <rPr>
        <b/>
        <sz val="11"/>
        <color theme="1"/>
        <rFont val="Calibri"/>
        <family val="2"/>
        <charset val="238"/>
        <scheme val="minor"/>
      </rPr>
      <t>KONEČNÝ STAV - ODSTOUPENO OD PROJEKTU</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</si>
  <si>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t>
    </r>
    <r>
      <rPr>
        <b/>
        <sz val="11"/>
        <color theme="1"/>
        <rFont val="Calibri"/>
        <family val="2"/>
        <charset val="238"/>
        <scheme val="minor"/>
      </rPr>
      <t>PŘÍPRAVA NÁVRHU NA SPOR Z VEŘEJNOPRÁVNÍ SMLOUVY PRO PENĚŽITÉ PLNĚNÍ</t>
    </r>
  </si>
  <si>
    <r>
      <t xml:space="preserve">6.10.2015 zastaveno správní řízení ÚOHS - nebyly zjištěny důvody pro uložení sankce
</t>
    </r>
    <r>
      <rPr>
        <b/>
        <sz val="11"/>
        <color theme="1"/>
        <rFont val="Calibri"/>
        <family val="2"/>
        <charset val="238"/>
        <scheme val="minor"/>
      </rPr>
      <t>KONEČNÝ STAV - ŠETŘENÍ ÚOHS BYLO BEZDŮVODNÉ</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</si>
  <si>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t>
    </r>
    <r>
      <rPr>
        <b/>
        <sz val="11"/>
        <rFont val="Calibri"/>
        <family val="2"/>
        <charset val="238"/>
        <scheme val="minor"/>
      </rPr>
      <t>PŘÍPRAVA NÁVRHU NA SPOR Z VEŘEJNOPRÁVNÍ SMLOUVY PRO PENĚŽITÉ PLNĚNÍ</t>
    </r>
  </si>
  <si>
    <r>
      <t xml:space="preserve">9/2014 ukončena veřejnosprávní kontrola
protokol č. RRSZ 17123/2014.
2.6.2015 doručena
Zpráva o auditu operace
č. ROPSZ/2015/O/020 ze dne 19.5.2015, potvrzen závěru z VSK, vč. výše fin. postihu, ve zprávě je uveden nulový finanční postih. 
probíhá veřejnosprávní kontrola,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theme="1"/>
        <rFont val="Calibri"/>
        <family val="2"/>
        <charset val="238"/>
        <scheme val="minor"/>
      </rPr>
      <t>ODBOR ZDRAVOTNICTVÍ PŘIPRAVUJE VYÚČTOVÁNÍ PROJEKTU, PO JEHO SCHVÁLENÍ RKK A ZKK BUDE PROBÍHAT PŘÍPRAVA NA SPOR Z VPS</t>
    </r>
  </si>
  <si>
    <r>
      <t xml:space="preserve">30. 9. 2016 skupině pro řešení finančních postihů předložen souhrn nezpůsobilých nákladů, vyúčtování projektu dosud nepředloženo
</t>
    </r>
    <r>
      <rPr>
        <b/>
        <sz val="11"/>
        <color theme="1"/>
        <rFont val="Calibri"/>
        <family val="2"/>
        <charset val="238"/>
        <scheme val="minor"/>
      </rPr>
      <t>ODBOR ZDRAVOTNICTVÍ PŘIPRAVUJE VYÚČTOVÁNÍ PROJEKTU, PO JEHO SCHVÁLENÍ RKK A ZKK BUDE PROBÍHAT PŘÍPRAVA NA SPOR Z VPS</t>
    </r>
  </si>
  <si>
    <t xml:space="preserve">REDI-regionalistika, ekologie,
Developing. Investice, spol. s r.o. </t>
  </si>
  <si>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uhrzaney náklady na správní poplatek
22.2.2017 MFČR zastavilo řízení o sporu a rozhodlo o povinnosti ÚRR uhradit Muzeu Sokolov náklady na správní poplatek
</t>
    </r>
    <r>
      <rPr>
        <b/>
        <sz val="11"/>
        <color theme="1"/>
        <rFont val="Calibri"/>
        <family val="2"/>
        <charset val="238"/>
        <scheme val="minor"/>
      </rPr>
      <t>PŘÍPRAVA NÁVRHU NA SPOR Z VEŘEJNOPRÁVNÍ SMLOUVY PRO PENĚŽITÉ PLNĚNÍ</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</si>
  <si>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theme="1"/>
        <rFont val="Calibri"/>
        <family val="2"/>
        <charset val="238"/>
        <scheme val="minor"/>
      </rPr>
      <t>KONEČNÝ STAV - BEZ KRÁCENÍ</t>
    </r>
  </si>
  <si>
    <r>
      <t xml:space="preserve">10.2.2017 doručena zpráva o auditu operace, auditní orgány zkontroloval výdaje ve výši 98.302.215,00 Kč a neidentifikoval žádné nezpůsobilé výdaje
</t>
    </r>
    <r>
      <rPr>
        <b/>
        <sz val="11"/>
        <color theme="1"/>
        <rFont val="Calibri"/>
        <family val="2"/>
        <charset val="238"/>
        <scheme val="minor"/>
      </rPr>
      <t>KONEČNÝ STAV - BEZ ZJIŠTĚNÍ</t>
    </r>
  </si>
  <si>
    <t>Olivius s.r.o.</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</si>
  <si>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zjištění::přečerpání položky -pravděpodobně chyba administrátora (příjemce bude po administrátorovi vymáhat), námitky zamítnuty, 15.2.2016 projekt finančně ukončen
aktuálně se připravuje vyúčtování projektu
dne 27.1.2017 ÚRR dobrovolně odeslal Oznámení o krácení způsobilých výdajů
</t>
    </r>
    <r>
      <rPr>
        <b/>
        <sz val="11"/>
        <color theme="1"/>
        <rFont val="Calibri"/>
        <family val="2"/>
        <charset val="238"/>
        <scheme val="minor"/>
      </rPr>
      <t>ODBOR KULTURY PŘIPRAVUJE VYÚČTOVÁNÍ PROJEKTU, PO JEHO SCHVÁLENÍ RKK A ZKK BUDE PROBÍHAT PŘÍPRAVA NA SPOR Z VPS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</si>
  <si>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theme="1"/>
        <rFont val="Calibri"/>
        <family val="2"/>
        <charset val="238"/>
        <scheme val="minor"/>
      </rPr>
      <t>KONEČNÝ STAV - BEZ ZJIŠTĚNÍ</t>
    </r>
  </si>
  <si>
    <t>Ing. Josef Vacek - fyzická osoba podnikatelská - administrace projektu</t>
  </si>
  <si>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theme="1"/>
        <rFont val="Calibri"/>
        <family val="2"/>
        <charset val="238"/>
        <scheme val="minor"/>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</si>
  <si>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theme="1"/>
        <rFont val="Calibri"/>
        <family val="2"/>
        <charset val="238"/>
        <scheme val="minor"/>
      </rPr>
      <t>KONEČNÝ STAV - PROTI KRÁCENÍ SE JIŽ NELZE BRÁNIT</t>
    </r>
  </si>
  <si>
    <t>GOAML, p.o.</t>
  </si>
  <si>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theme="1"/>
        <rFont val="Calibri"/>
        <family val="2"/>
        <charset val="238"/>
        <scheme val="minor"/>
      </rPr>
      <t>ODBOR ZDRAVOTNICTVÍ PŘIPRAVUJE VYÚČTOVÁNÍ PROJEKTU, PO JEHO SCHVÁLENÍ RKK A ZKK BUDE PROBÍHAT PŘÍPRAVA NA SPOR Z VPS</t>
    </r>
  </si>
  <si>
    <r>
      <t xml:space="preserve">dne 1.9.2016 doručena žádost o zaslání dokumentace k VZ 8, nejpozději do dne 8.9.2016;
23.9.2016 - ÚOHS neshledal důvody pro zahájení řízení
</t>
    </r>
    <r>
      <rPr>
        <b/>
        <sz val="11"/>
        <color theme="1"/>
        <rFont val="Calibri"/>
        <family val="2"/>
        <charset val="238"/>
        <scheme val="minor"/>
      </rPr>
      <t>KONEČNÝ STAV - ŠETŘENÍ ÚOHS BYLO BEZDŮVODNÉ</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</si>
  <si>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theme="1"/>
        <rFont val="Calibri"/>
        <family val="2"/>
        <charset val="238"/>
        <scheme val="minor"/>
      </rPr>
      <t>KONEČNÝ STAV - PROTI KRÁCENÍ JIŽ NENÍ PŘÍPUSNÁ DALŠÍ OBRANA, ODBOR KULTURY PŘIPRAVUJE VYÚČTOVÁNÍ PROJEKTU PRO RKK A ZKK</t>
    </r>
  </si>
  <si>
    <t>ÚRR
odvod za porušení rozp.kázně</t>
  </si>
  <si>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576.277,-Kč;
30.6.2016 - KK zaslal zpětvzetí správní žaloby a dne 11.7.2016 KK obdržel usnesení Krajského soudu v Plzni - řízení se zastavuje; 14.7.2016 vrácen soudní poplatek ve výši 2.000,-Kč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</si>
  <si>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datum úhrady  2/2013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</si>
  <si>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 xml:space="preserve">rozhodnutím z 29.7.2013 bylo penále prominuto v plné výši
</t>
    </r>
    <r>
      <rPr>
        <b/>
        <sz val="16"/>
        <rFont val="Calibri"/>
        <family val="2"/>
        <charset val="238"/>
        <scheme val="minor"/>
      </rPr>
      <t>KONEČNÝ STAV - POSTIH ZRUŠEN</t>
    </r>
  </si>
  <si>
    <r>
      <t xml:space="preserve">datum úhrady  3/2013
</t>
    </r>
    <r>
      <rPr>
        <b/>
        <sz val="16"/>
        <rFont val="Calibri"/>
        <family val="2"/>
        <charset val="238"/>
        <scheme val="minor"/>
      </rPr>
      <t>KONEČNÝ STAV - ÚROK Z POSEČKÁNÍ UHRAZEN</t>
    </r>
  </si>
  <si>
    <r>
      <t xml:space="preserve">17.3.2014 oznámení o zahájení daňového řízení, 22.4.2014 vyjádření ve věci daňového řízení, 16.9.2014 PV ve výši 81.346.508,-Kč,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6"/>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</si>
  <si>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penále,prominuto ve 100% výši; schv.usn.č.RK 97/02/16
</t>
    </r>
    <r>
      <rPr>
        <b/>
        <sz val="16"/>
        <rFont val="Calibri"/>
        <family val="2"/>
        <charset val="238"/>
        <scheme val="minor"/>
      </rPr>
      <t>KONEČNÝ STAV - POSTIH ZRUŠEN</t>
    </r>
  </si>
  <si>
    <r>
      <t xml:space="preserve">datum úhrady 7/2013
</t>
    </r>
    <r>
      <rPr>
        <b/>
        <sz val="16"/>
        <color theme="1"/>
        <rFont val="Calibri"/>
        <family val="2"/>
        <charset val="238"/>
        <scheme val="minor"/>
      </rPr>
      <t>KONEČNÝ STAV - ODVOD UHRAZEN</t>
    </r>
  </si>
  <si>
    <r>
      <t xml:space="preserve">datum úhrady 9/2013
</t>
    </r>
    <r>
      <rPr>
        <b/>
        <sz val="16"/>
        <color theme="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</si>
  <si>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6"/>
        <color theme="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</si>
  <si>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color theme="1"/>
        <rFont val="Calibri"/>
        <family val="2"/>
        <charset val="238"/>
        <scheme val="minor"/>
      </rPr>
      <t xml:space="preserve">24.3.2016 Gen.fin.řed.Praha - Rozhodnutí o prominutí odvodu ve výši 189.910,-Kč, zaplaceno 253.214,-Kč,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</si>
  <si>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235.126,-Kč, uhrazeno 246.056,-Kč, prominutá část vrácena na účet KK v 4/2016
</t>
    </r>
    <r>
      <rPr>
        <b/>
        <sz val="16"/>
        <color theme="1"/>
        <rFont val="Calibri"/>
        <family val="2"/>
        <charset val="238"/>
        <scheme val="minor"/>
      </rPr>
      <t>KONEČNÝ STAV - ČÁSTEČNÉ PROMINUTÍ PENÁLE</t>
    </r>
  </si>
  <si>
    <r>
      <t xml:space="preserve">datum úhrady 16.1.2015
</t>
    </r>
    <r>
      <rPr>
        <b/>
        <sz val="16"/>
        <color theme="1"/>
        <rFont val="Calibri"/>
        <family val="2"/>
        <charset val="238"/>
        <scheme val="minor"/>
      </rPr>
      <t>KONEČNÝ STAV - ÚROK Z POSEČKÁNÍ UhRAZEN</t>
    </r>
  </si>
  <si>
    <r>
      <t xml:space="preserve">uhrazeno v 12/2012 a 2/2013; rozhodnutím z 13.5.2013 prominuto v plné výši; vráceno v plné výši 8/2013
</t>
    </r>
    <r>
      <rPr>
        <b/>
        <sz val="16"/>
        <color theme="1"/>
        <rFont val="Calibri"/>
        <family val="2"/>
        <charset val="238"/>
        <scheme val="minor"/>
      </rPr>
      <t>KONEČNÝ STAV - POSTIH ZRUŠEN</t>
    </r>
  </si>
  <si>
    <r>
      <t xml:space="preserve">uhrazeno v 3/2013; rozhodnutím z 13.5.2013 prominuto v plné výši; vráceno v plné výši 8/2013
</t>
    </r>
    <r>
      <rPr>
        <b/>
        <sz val="16"/>
        <color theme="1"/>
        <rFont val="Calibri"/>
        <family val="2"/>
        <charset val="238"/>
        <scheme val="minor"/>
      </rPr>
      <t>KONEČNÝ STAV - POSTIH ZRUŠEN</t>
    </r>
  </si>
  <si>
    <r>
      <t xml:space="preserve">uhrazeno v 1-2/2013; rozhodnutím z 17.7.2013 prominuto v plné výši; vráceno v plné výši 8/2013
</t>
    </r>
    <r>
      <rPr>
        <b/>
        <sz val="16"/>
        <color theme="1"/>
        <rFont val="Calibri"/>
        <family val="2"/>
        <charset val="238"/>
        <scheme val="minor"/>
      </rPr>
      <t>KONEČNÝ STAV - POSTIH ZRUŠEN</t>
    </r>
  </si>
  <si>
    <r>
      <t xml:space="preserve">uhrazeno 3/2013; rozhodnutím z 17.7.2013 prominuto v plné výši; vráceno v plné výši 8/2013
</t>
    </r>
    <r>
      <rPr>
        <b/>
        <sz val="16"/>
        <color theme="1"/>
        <rFont val="Calibri"/>
        <family val="2"/>
        <charset val="238"/>
        <scheme val="minor"/>
      </rPr>
      <t>KONEČNÝ STAV - POSTIH ZRUŠEN</t>
    </r>
  </si>
  <si>
    <r>
      <t xml:space="preserve">uhrazeno 7/2013; rozhodnutím z 20.3.2014 částečně prominuto; v 4/2014 vrácená částka ve výši 202 950,--Kč
</t>
    </r>
    <r>
      <rPr>
        <b/>
        <sz val="16"/>
        <color theme="1"/>
        <rFont val="Calibri"/>
        <family val="2"/>
        <charset val="238"/>
        <scheme val="minor"/>
      </rPr>
      <t>KONEČNÝ STAV - ODVOD ČÁSTEČNĚ PROMINUT</t>
    </r>
  </si>
  <si>
    <r>
      <t xml:space="preserve">uhrazeno 9/2013; rozhodnutím z 20.3.2014 prominuto v plné výši; vráceno v plné výši 4/2013
</t>
    </r>
    <r>
      <rPr>
        <b/>
        <sz val="16"/>
        <color theme="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</si>
  <si>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color theme="1"/>
        <rFont val="Calibri"/>
        <family val="2"/>
        <charset val="238"/>
        <scheme val="minor"/>
      </rPr>
      <t xml:space="preserve">24.3.2016 Gen.fin.řed.Praha - Rozhodnutí o prominutí odvodu ve výši 40.982,-Kč, uhrazeno 54.643,-Kč,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</si>
  <si>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52.107,-Kč, uhrazeno 54.643,-Kč, prominutá část vrácena na účet KK v 4/2016
</t>
    </r>
    <r>
      <rPr>
        <b/>
        <sz val="16"/>
        <color theme="1"/>
        <rFont val="Calibri"/>
        <family val="2"/>
        <charset val="238"/>
        <scheme val="minor"/>
      </rPr>
      <t>KONEČNÝ STAV - ČÁSTEČNÉ PROMINUTÍ PENÁLE</t>
    </r>
  </si>
  <si>
    <r>
      <t xml:space="preserve">datum úhrady 5/2012
</t>
    </r>
    <r>
      <rPr>
        <b/>
        <sz val="16"/>
        <rFont val="Calibri"/>
        <family val="2"/>
        <charset val="238"/>
        <scheme val="minor"/>
      </rPr>
      <t>KONEČNÝ STAV - ODVOD UHRAZEN</t>
    </r>
  </si>
  <si>
    <r>
      <t xml:space="preserve">rozhodnutím z 3.9.2014 zamítnuto odvolání proti PV; datum úhrady 23.10.2014; 29.10.2014 byla podána správní žaloba; 26.10.2015 a 14.1.2016 Rozsudek zamítnutí správních žalob, kasační stížnosti KK podávat nebude - viz RK 1145/11/15 a RK 18/01/16;
</t>
    </r>
    <r>
      <rPr>
        <b/>
        <sz val="11"/>
        <rFont val="Calibri"/>
        <family val="2"/>
        <charset val="238"/>
        <scheme val="minor"/>
      </rPr>
      <t xml:space="preserve">24.3.2016 Gen.fin.řed.Praha-Rozhodnutí o prominutí odvodu ve výši 41.203,-Kč, uhrazeno 54.937,-Kč, prominutá část vrácena na účet KK v 4/2016
</t>
    </r>
    <r>
      <rPr>
        <b/>
        <sz val="16"/>
        <rFont val="Calibri"/>
        <family val="2"/>
        <charset val="238"/>
        <scheme val="minor"/>
      </rPr>
      <t>KONEČNÝ STAV - ODVOD ČÁSTEČNÉ PROMINUT</t>
    </r>
  </si>
  <si>
    <r>
      <t xml:space="preserve">datum úhrady 17.12.2014;
</t>
    </r>
    <r>
      <rPr>
        <b/>
        <sz val="11"/>
        <rFont val="Calibri"/>
        <family val="2"/>
        <charset val="238"/>
        <scheme val="minor"/>
      </rPr>
      <t xml:space="preserve">24.3.2016 Gen.fin.řed.Praha-Rozhodnutí o prominutí penále ve výši 52.387,-Kč, uhrazeno 54.937,-Kč, prominutá část vrácena na účet KK v 4/2016
</t>
    </r>
    <r>
      <rPr>
        <b/>
        <sz val="16"/>
        <rFont val="Calibri"/>
        <family val="2"/>
        <charset val="238"/>
        <scheme val="minor"/>
      </rPr>
      <t>KONEČNÝ STAV - PENÁLE ČÁSTEČNĚ PROMINUTO</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</si>
  <si>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t>
    </r>
    <r>
      <rPr>
        <b/>
        <sz val="16"/>
        <rFont val="Calibri"/>
        <family val="2"/>
        <charset val="238"/>
        <scheme val="minor"/>
      </rPr>
      <t>MŠMT ŘEŠÍ S FINANĆNÍM ÚŘADEM
ŽÁDOST O PROMINUTÍ ODVODU NA GENER.FIN.ŘED.</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</si>
  <si>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6"/>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</si>
  <si>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</si>
  <si>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27.11.2015 odeslána dokumentace na ÚOHS; 16.12.2015 Výsledek šetření ÚOHS - neshledal důvody pro zahájení správního řízení
</t>
    </r>
    <r>
      <rPr>
        <b/>
        <sz val="16"/>
        <rFont val="Calibri"/>
        <family val="2"/>
        <charset val="238"/>
        <scheme val="minor"/>
      </rPr>
      <t>ÚOHS - BEZ ZJIŠTĚNÍ</t>
    </r>
  </si>
  <si>
    <r>
      <t xml:space="preserve">24.6.2015 zasláno vyjádření a dokumentace na ÚOHS; 30.10.2015 Oznámení ÚOHS - neshledal důvody pro zahájení správního řízení
</t>
    </r>
    <r>
      <rPr>
        <b/>
        <sz val="16"/>
        <rFont val="Calibri"/>
        <family val="2"/>
        <charset val="238"/>
        <scheme val="minor"/>
      </rPr>
      <t xml:space="preserve">ÚOHS </t>
    </r>
    <r>
      <rPr>
        <sz val="11"/>
        <rFont val="Calibri"/>
        <family val="2"/>
        <charset val="238"/>
        <scheme val="minor"/>
      </rPr>
      <t xml:space="preserve">- </t>
    </r>
    <r>
      <rPr>
        <b/>
        <sz val="16"/>
        <rFont val="Calibri"/>
        <family val="2"/>
        <charset val="238"/>
        <scheme val="minor"/>
      </rPr>
      <t>BEZ ZJIŠTĚNÍ</t>
    </r>
  </si>
  <si>
    <r>
      <t xml:space="preserve">ÚOHS neshledal důvod pro zahájení správního řízení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</si>
  <si>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6"/>
        <rFont val="Calibri"/>
        <family val="2"/>
        <charset val="238"/>
        <scheme val="minor"/>
      </rPr>
      <t>KONEČNÝ STAV - ODVOD A PENÁLE UHRAZENO, PROMINUTÍ ZAMÍTNUTO</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</si>
  <si>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POSTIH ZRUŠEN</t>
    </r>
  </si>
  <si>
    <r>
      <t xml:space="preserve">7.8.2014 - Oznámení o nesrovnalosti a předání věci správci daně - z MŠMT; 
25.4.2016 - Oznámení z MŠMT, trvá na nesrovnalosti a věc předá opětovně na FÚ
</t>
    </r>
    <r>
      <rPr>
        <b/>
        <sz val="16"/>
        <rFont val="Calibri"/>
        <family val="2"/>
        <charset val="238"/>
        <scheme val="minor"/>
      </rPr>
      <t>MŠMT ŘEŠI S FINANČNÍM ÚŘADEM</t>
    </r>
  </si>
  <si>
    <r>
      <t xml:space="preserve">oznámení o udělení korekce z 22.9.2014; rozhodnutí o námitkách ze dne 5.12.2014 - neakceptovány; 30.5.2015 MŽP zaslalo podnět na FÚ (upřesnění částky);
čekáme na vyúčtování projektu
</t>
    </r>
    <r>
      <rPr>
        <b/>
        <sz val="16"/>
        <rFont val="Calibri"/>
        <family val="2"/>
        <charset val="238"/>
        <scheme val="minor"/>
      </rPr>
      <t>MŽP ŘEŠÍ S FINANČNÍM ÚŘADEM</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</si>
  <si>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t>
    </r>
    <r>
      <rPr>
        <b/>
        <sz val="16"/>
        <color theme="1"/>
        <rFont val="Calibri"/>
        <family val="2"/>
        <charset val="238"/>
        <scheme val="minor"/>
      </rPr>
      <t>MOŽNÝ SPOR Z VEŘEJNOPRÁVNÍ SMLOUVY PRO PENĚŽITÉ PLNĚNÍ</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</si>
  <si>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6"/>
        <color theme="1"/>
        <rFont val="Calibri"/>
        <family val="2"/>
        <charset val="238"/>
        <scheme val="minor"/>
      </rPr>
      <t>MOŽNÝ SPOR Z VEŘEJNOPRÁVNÍ SMLOUVY PRO PENĚŽITÉ PLNĚNÍ</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</si>
  <si>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</si>
  <si>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4.11.2014 ukončena veřejnosprávní kontrola - námitkám v plném rozsahu vyhověno;
vyúčtování projektu ZK 473/12/15 ze dne 3.12.2015
</t>
    </r>
    <r>
      <rPr>
        <b/>
        <sz val="16"/>
        <color theme="1"/>
        <rFont val="Calibri"/>
        <family val="2"/>
        <charset val="238"/>
        <scheme val="minor"/>
      </rPr>
      <t>KONEČNÝ STAV - POSTIH ZRUŠEN</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</si>
  <si>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6"/>
        <rFont val="Calibri"/>
        <family val="2"/>
        <charset val="238"/>
        <scheme val="minor"/>
      </rPr>
      <t>KONEČNÝ STAV - POKUTA UHRAZENA</t>
    </r>
  </si>
  <si>
    <r>
      <t xml:space="preserve">datum úhrady 2/2014
</t>
    </r>
    <r>
      <rPr>
        <b/>
        <sz val="16"/>
        <color theme="1"/>
        <rFont val="Calibri"/>
        <family val="2"/>
        <charset val="238"/>
        <scheme val="minor"/>
      </rPr>
      <t>KONEČNÝ STAV - ODVOD UHRAZEN</t>
    </r>
  </si>
  <si>
    <r>
      <t xml:space="preserve">datum úhrady 2/2014;
27.8.2015 částečně prominuté penále ve výši 67.949,-- Kč
</t>
    </r>
    <r>
      <rPr>
        <b/>
        <sz val="16"/>
        <color theme="1"/>
        <rFont val="Calibri"/>
        <family val="2"/>
        <charset val="238"/>
        <scheme val="minor"/>
      </rPr>
      <t>KONEČNÝ STAV - ČÁSTEČNĚ PROMINUTÉ PENÁLE UHRAZENO</t>
    </r>
  </si>
  <si>
    <r>
      <t xml:space="preserve">datum úhrady 12/2013
</t>
    </r>
    <r>
      <rPr>
        <b/>
        <sz val="16"/>
        <color theme="1"/>
        <rFont val="Calibri"/>
        <family val="2"/>
        <charset val="238"/>
        <scheme val="minor"/>
      </rPr>
      <t>KONEČNÝ STAV - ODVOD UHRAZEN</t>
    </r>
  </si>
  <si>
    <r>
      <t xml:space="preserve">datum úhrady 1/2014; 
27.8.2015 částečně prominuté penále ve výši 10.635,-- Kč
</t>
    </r>
    <r>
      <rPr>
        <b/>
        <sz val="16"/>
        <color theme="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</si>
  <si>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ZKRÁCENÍ DOTACE</t>
    </r>
  </si>
  <si>
    <r>
      <t xml:space="preserve">18.3.2016 z ÚRR č.j. RRSZ 3612/2016 Oznámení o zahájení kontroly;
23.3.2016 z ÚRR č.j. RRSZ 3756/2016 Protokol o kontrole
</t>
    </r>
    <r>
      <rPr>
        <b/>
        <sz val="16"/>
        <color theme="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</si>
  <si>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t>
    </r>
    <r>
      <rPr>
        <b/>
        <sz val="16"/>
        <color theme="1"/>
        <rFont val="Calibri"/>
        <family val="2"/>
        <charset val="238"/>
        <scheme val="minor"/>
      </rPr>
      <t>ČEKÁME NA VYÚČTOVÁNÍ PROJEKTU</t>
    </r>
    <r>
      <rPr>
        <sz val="11"/>
        <color theme="1"/>
        <rFont val="Calibri"/>
        <family val="2"/>
        <charset val="238"/>
        <scheme val="minor"/>
      </rPr>
      <t xml:space="preserve">
</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</si>
  <si>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</si>
  <si>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</si>
  <si>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</si>
  <si>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</si>
  <si>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</si>
  <si>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</si>
  <si>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7.9.2016 žádost ÚOHS k zaslání dokumentace (u VZ - Akutní péče); 15.9.2016 zaslané dokumenty a stanovisko; 27. 9.2019 Oznámení z ÚOHS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</si>
  <si>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13.7.2016 žádost ÚOHS u VZ - rentgeny o zaslání dokumentace, KK dne 13.7.2016 dokumentaci zaslal a 19.7.2016 ÚOHS - bez zjištění
</t>
    </r>
    <r>
      <rPr>
        <b/>
        <sz val="16"/>
        <color theme="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</si>
  <si>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</si>
  <si>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10.9.2015 doručen Protokol z VSK; do 24.9.2015 odeslány námitky proti kontrolním zjištěním; 13.10.2015 námitky ÚRR zamítnul
30.1.2017 ÚRR Oznámení o krácení způsobilých výdajů
</t>
    </r>
    <r>
      <rPr>
        <b/>
        <sz val="16"/>
        <color theme="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</si>
  <si>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</si>
  <si>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4.10.2016 ÚOHS žádost o zaslání dokumentace do 10.10.2016; 7.10.2016 žádost na ÚOHS o prodloužení termínu do 13.10.2016;
12.10.2016 odeslána dokumentace a vyjádření na ÚOHS;
1.11.2016 Sdělení výsledku šetření z ÚOHS - bez zjištění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</si>
  <si>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6"/>
        <color theme="1"/>
        <rFont val="Calibri"/>
        <family val="2"/>
        <charset val="238"/>
        <scheme val="minor"/>
      </rPr>
      <t>KONEČNÝ STAV - ZKRÁCENÍ DOTACE</t>
    </r>
    <r>
      <rPr>
        <sz val="11"/>
        <color theme="1"/>
        <rFont val="Calibri"/>
        <family val="2"/>
        <charset val="238"/>
        <scheme val="minor"/>
      </rPr>
      <t xml:space="preserve">
</t>
    </r>
  </si>
  <si>
    <r>
      <t xml:space="preserve">RK 1001/09/15 a ZK 411/10/15 - zdůvodnění nezpůsobilých výdajů
</t>
    </r>
    <r>
      <rPr>
        <b/>
        <sz val="16"/>
        <color theme="1"/>
        <rFont val="Calibri"/>
        <family val="2"/>
        <charset val="238"/>
        <scheme val="minor"/>
      </rPr>
      <t>KONEČNÝ STAV - NEZPUSOBILÉ VÝDAJE ZDUVODNĚNY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</si>
  <si>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NEZPUSOBILÉ VÝDAJE ZDUVODNĚNY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</si>
  <si>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6"/>
        <color theme="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</si>
  <si>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6"/>
        <color theme="1"/>
        <rFont val="Calibri"/>
        <family val="2"/>
        <charset val="238"/>
        <scheme val="minor"/>
      </rPr>
      <t>ODVOLÁNÍ U MF</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</si>
  <si>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</si>
  <si>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</si>
  <si>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theme="1"/>
        <rFont val="Calibri"/>
        <family val="2"/>
        <charset val="238"/>
        <scheme val="minor"/>
      </rPr>
      <t>KONEČNÝ STAV - VZHLEDEM K CHARAKTERU POCHYBENÍ ROZHODLA RKK O NEUPLATNĚNÍ OBRANY</t>
    </r>
  </si>
  <si>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</si>
  <si>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</si>
  <si>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</si>
  <si>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</si>
  <si>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</si>
  <si>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</si>
  <si>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</si>
  <si>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</si>
  <si>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</si>
  <si>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</si>
  <si>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</si>
  <si>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</si>
  <si>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</si>
  <si>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t>
    </r>
    <r>
      <rPr>
        <b/>
        <sz val="16"/>
        <color theme="1"/>
        <rFont val="Calibri"/>
        <family val="2"/>
        <charset val="238"/>
        <scheme val="minor"/>
      </rPr>
      <t>ODVOLÁNÍ U ODVOLACÍHO FIN.ŘED.
ŽÁDOST O PROMINUTÍ ODVODU A DOSUD NEVYM.PENÁLE U GEN.FIN.ŘED.</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</si>
  <si>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proldoužení lhůty o odvolání do 9.7.2017
</t>
    </r>
    <r>
      <rPr>
        <b/>
        <sz val="16"/>
        <rFont val="Calibri"/>
        <family val="2"/>
        <charset val="238"/>
        <scheme val="minor"/>
      </rPr>
      <t>ODVOLÁNÍ U ODVOLACÍHO FIN.ŘED.
ŽÁDOST O PROMINUTÍ ODVODU A DOSUD NEVYM.PENÁLE U GEN.FIN.ŘED.</t>
    </r>
  </si>
  <si>
    <r>
      <t xml:space="preserve">24.10.2016 doručena zpráva o auditu operace. V auditovaném období nezjištěny nezp. výdaje. Mimo období zjištěny výzisky neodečtené od zp. výdajů ve výši 397.500,- bez DPH, tedy 480.975,- s DPH. Pro případné vymáhání by muselo být zahájeno daňové řízení.
6.3.2017 vystavil ÚRR výzvu k vrácení 337 874,99 Kč za neodečtené výzisky za prodej vyfrézovaného materiálu a dřevin
</t>
    </r>
    <r>
      <rPr>
        <b/>
        <sz val="11"/>
        <color theme="1"/>
        <rFont val="Calibri"/>
        <family val="2"/>
        <charset val="238"/>
        <scheme val="minor"/>
      </rPr>
      <t>OČEKÁVÁME ZAHÁJENÍ DAŇOVÉHO ŘÍZENÍ A VYSTAVENÍ PLATEBNÍCH VÝMĚRŮ</t>
    </r>
  </si>
  <si>
    <r>
      <t xml:space="preserve">6.12.2016 doručena Zpráva o auditu operace ROPSZ/2016/O/014 ze dne 30.11.2016, auditované prostředky byly ve výši 21.681.118,90.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t>
    </r>
    <r>
      <rPr>
        <b/>
        <sz val="11"/>
        <color theme="1"/>
        <rFont val="Calibri"/>
        <family val="2"/>
        <charset val="238"/>
        <scheme val="minor"/>
      </rPr>
      <t>OČEKÁVÁME ZAHÁJENÍ DAŇOVÉHO ŘÍZENÍ A VYSTAVENÍ PLATEBNÍCH VÝMĚRŮ</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</si>
  <si>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b/>
        <sz val="11"/>
        <color theme="1"/>
        <rFont val="Calibri"/>
        <family val="2"/>
        <charset val="238"/>
        <scheme val="minor"/>
      </rPr>
      <t>OČEKÁVÁME ZAHÁJENÍ DAŇOVÉHO ŘÍZENÍ A VYSTAVENÍ PLATEBNÍCH VÝMĚRŮ</t>
    </r>
  </si>
  <si>
    <t>III/21047 Modernizace silnice Nejdek - Pernink 
CZ.1.09/3.1.00/67.01111</t>
  </si>
  <si>
    <r>
      <t xml:space="preserve">7.11.2014 ukončena veřejnosprávní kontrola - námitkám bylo částečně vyhověno
celkové navržené krácení 55.230,45 Kč (částka z dotace), ale příjemce 24.684,00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t>
    </r>
    <r>
      <rPr>
        <b/>
        <sz val="11"/>
        <color theme="1"/>
        <rFont val="Calibri"/>
        <family val="2"/>
        <charset val="238"/>
        <scheme val="minor"/>
      </rPr>
      <t>PŘÍPRAVA NÁVRHU NA SPOR Z VEŘEJNOPRÁVNÍ SMLOUVY PRO PENĚŽITÉ PLNĚNÍ</t>
    </r>
  </si>
  <si>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</si>
  <si>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</si>
  <si>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</si>
  <si>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</si>
  <si>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</si>
  <si>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</si>
  <si>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</si>
  <si>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</si>
  <si>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</si>
  <si>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</si>
  <si>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</si>
  <si>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</si>
  <si>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</si>
  <si>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</si>
  <si>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</si>
  <si>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</si>
  <si>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17.228,-Kč a 3.041,-Kč, KK  podal na FÚ odvolání  6.1.2017; z FÚ dne 22.3.2017 postoupení odvolání Odvolacímu fin.řed.
</t>
    </r>
    <r>
      <rPr>
        <b/>
        <sz val="16"/>
        <rFont val="Calibri"/>
        <family val="2"/>
        <charset val="238"/>
        <scheme val="minor"/>
      </rPr>
      <t>ODVOLÁNÍ PROTI PV NA FINANČNÍM ÚŘADU</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</si>
  <si>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347.809,-Kč a 1.970.915,-Kč, KK podal na FÚ 6.1.2017 odvolání; z FÚ dne 22.3.2017 postoupení odvolání Odvolacímu fin.řed.
</t>
    </r>
    <r>
      <rPr>
        <b/>
        <sz val="16"/>
        <rFont val="Calibri"/>
        <family val="2"/>
        <charset val="238"/>
        <scheme val="minor"/>
      </rPr>
      <t>ODVOLÁNÍ PROTI PV NA FINANČNÍM ÚŘADU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</si>
  <si>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theme="1"/>
        <rFont val="Calibri"/>
        <family val="2"/>
        <charset val="238"/>
        <scheme val="minor"/>
      </rPr>
      <t>KONEČNÝ STAV - ULOŽENÁ POKUTA JE DEFINITIVNÍ
OLP a KŽÚ VYHODNOCUJE ZÁVAZEK SPOLEČNOSTI VEŘEJNÉ ZAKÁZKY S.R.O., NÉST PŘÍPADNÝ POSTIH ZPŮSOBENÝ NESPRÁVNÝM POSTUPEM PŘI REALIZACI ZADAVATELSKÝCH ČINNOSTÍ VE SMYSLU ZÁKONA Č. 137/2006 Sb.</t>
    </r>
  </si>
  <si>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</si>
  <si>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</si>
  <si>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</si>
  <si>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</si>
  <si>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FÚ
odvod za porušení rozp.kázně</t>
  </si>
  <si>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theme="1"/>
        <rFont val="Calibri"/>
        <family val="2"/>
        <charset val="238"/>
        <scheme val="minor"/>
      </rPr>
      <t>KONEČNÝ STAV - PROTI KRÁCENÍ JIŽ NENÍ PŘÍPUSTNÁ DALŠÍ OBRANA. VYÚČTOVÁNÍ PROJEKTU PROVEDENO MATERIÁLY č. RK 312/03/14 ze dne 24. 3. 2014 a v ZKK usnesením č. ZK 121/04/14 ze dne 24. 4. 2014</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</si>
  <si>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</si>
  <si>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</si>
  <si>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</si>
  <si>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r>
      <t xml:space="preserve">14.9.2016 doručena Zpráva o auditu operace ROPSZ/2016/O/012 ze dne 31.8.2016, auditované prostředky byly ve výši 171.293.570,94, identifikované NV ve výši 134.201,25 ( z toho 29.221,50 za neprovedené korekce za VŘ 003 a VŘ 004 a 104.979,75 za výzisky)
6.3.2017 vystavil ÚRR výzvu k vrácení 393 222,74 Kč za neodečtené výzisky za prodej vyfrézovaného materiálu a dřevin
</t>
    </r>
    <r>
      <rPr>
        <b/>
        <sz val="11"/>
        <color theme="1"/>
        <rFont val="Calibri"/>
        <family val="2"/>
        <charset val="238"/>
        <scheme val="minor"/>
      </rPr>
      <t>OČEKÁVÁME ZAHÁJENÍ DAŇOVÉHO ŘÍZENÍ A VYSTAVENÍ PLATEBNÍCH VÝMĚRŮ</t>
    </r>
  </si>
  <si>
    <t xml:space="preserve">neponížení požadovaných nákladů o výzisky z prodeje vyfrézovaného materiálu
neprovedené korekce ŘO za VŘ 004
</t>
  </si>
  <si>
    <r>
      <t xml:space="preserve">6.12.2016 doručena Zpráva o auditu operace ROPSZ/2016/O/020 ze dne 30.11.2016, auditované prostředky byly ve výši 132.428.457,27 (z toho 3.872,- za neprovedenou korekci za VŘ 004 a 357.635,25)
6.3.2017 vystavil ÚRR výzvu k vrácení 393 222,74 Kč za neodečtené výzisky za prodej vyfrézovaného materiálu a dřevin
</t>
    </r>
    <r>
      <rPr>
        <b/>
        <sz val="11"/>
        <color theme="1"/>
        <rFont val="Calibri"/>
        <family val="2"/>
        <charset val="238"/>
        <scheme val="minor"/>
      </rPr>
      <t>OČEKÁVÁME ZAHÁJENÍ DAŇOVÉHO ŘÍZENÍ A VYSTAVENÍ PLATEBNÍCH VÝMĚRŮ</t>
    </r>
  </si>
  <si>
    <t>sl. 13 - nejedná se o součet sl. 14 a sl. 15, neboť u projektu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</si>
  <si>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</si>
  <si>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</si>
  <si>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příspěvkové organizace a KKN a.s.</t>
    </r>
  </si>
  <si>
    <t>Přehled finančních postihů (odvodů, korekcí a pokut) u projektů spolufinancovaných z EU včetně jiných zdrojů od roku 2008</t>
  </si>
  <si>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6"/>
        <rFont val="Calibri"/>
        <family val="2"/>
        <charset val="238"/>
        <scheme val="minor"/>
      </rPr>
      <t>ODVOLÁNÍ PROTI PV</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</si>
  <si>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vyjjádření k Protokolu dne 10.4.2017
</t>
    </r>
    <r>
      <rPr>
        <b/>
        <sz val="16"/>
        <rFont val="Calibri"/>
        <family val="2"/>
        <charset val="238"/>
        <scheme val="minor"/>
      </rPr>
      <t>OČEKÁVÁME</t>
    </r>
    <r>
      <rPr>
        <sz val="11"/>
        <rFont val="Calibri"/>
        <family val="2"/>
        <charset val="238"/>
        <scheme val="minor"/>
      </rPr>
      <t xml:space="preserve"> </t>
    </r>
    <r>
      <rPr>
        <b/>
        <sz val="16"/>
        <rFont val="Calibri"/>
        <family val="2"/>
        <charset val="238"/>
        <scheme val="minor"/>
      </rPr>
      <t>VYSTAVENÍ PLATEBNÍHO VÝMĚRU</t>
    </r>
  </si>
  <si>
    <r>
      <t xml:space="preserve">27.2.2017 Protokol o ústním jednání z FÚ; dne 13.3.2017 podáno stanovisko; 3.4.2017 z FÚ Zpráva o daňové kontrole a PV na odvod ve výši 109.471,-Kč, uhrazen dne 6.4.2017, odvolání proti PV do 4.5.2017
</t>
    </r>
    <r>
      <rPr>
        <b/>
        <sz val="16"/>
        <color theme="1"/>
        <rFont val="Calibri"/>
        <family val="2"/>
        <charset val="238"/>
        <scheme val="minor"/>
      </rPr>
      <t>ODVOLÁNÍ PROTI PV</t>
    </r>
  </si>
  <si>
    <r>
      <t xml:space="preserve">27.2.2017 Protokol o ústním jednání z FÚ; dne 13.3.2017 podáno stanovisko; 3.4.2017 z FÚ Zpráva o daňové kontrole a PV na odvod ve výši 129.560,-Kč, uhrazen dne 6.4.2017, odvolání proti PV do 4.5.2017
</t>
    </r>
    <r>
      <rPr>
        <b/>
        <sz val="16"/>
        <color theme="1"/>
        <rFont val="Calibri"/>
        <family val="2"/>
        <charset val="238"/>
        <scheme val="minor"/>
      </rPr>
      <t>ODVOLÁNÍ PROTI PV</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</si>
  <si>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do 2 měsíců možnost podat správní žalobu
</t>
    </r>
    <r>
      <rPr>
        <b/>
        <sz val="16"/>
        <rFont val="Calibri"/>
        <family val="2"/>
        <charset val="238"/>
        <scheme val="minor"/>
      </rPr>
      <t>SPRÁVNÍ ŽALOBA</t>
    </r>
    <r>
      <rPr>
        <sz val="11"/>
        <rFont val="Calibri"/>
        <family val="2"/>
        <charset val="238"/>
        <scheme val="minor"/>
      </rPr>
      <t xml:space="preserve">
</t>
    </r>
  </si>
  <si>
    <t>SFŽP</t>
  </si>
  <si>
    <t>24.4.2017 ze SFŽP Protokol o kontrole, do 15.5.2017 námitky</t>
  </si>
  <si>
    <r>
      <t>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t>
    </r>
    <r>
      <rPr>
        <sz val="11"/>
        <color rgb="FFFF0000"/>
        <rFont val="Calibri"/>
        <family val="2"/>
        <charset val="238"/>
        <scheme val="minor"/>
      </rPr>
      <t xml:space="preserve"> </t>
    </r>
    <r>
      <rPr>
        <sz val="11"/>
        <rFont val="Calibri"/>
        <family val="2"/>
        <charset val="238"/>
        <scheme val="minor"/>
      </rPr>
      <t xml:space="preserve">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do 31.5.2017; 21.4.2017 z FÚ platební výměr na penále ve výši 979.098,-Kč, uhrazen dne 26.4.2017
</t>
    </r>
    <r>
      <rPr>
        <b/>
        <sz val="16"/>
        <rFont val="Calibri"/>
        <family val="2"/>
        <charset val="238"/>
        <scheme val="minor"/>
      </rPr>
      <t>ŽÁDOST O PROMINUTÍ ODVODU A DOSUD NEVYM.PENÁLE NA GENER.FIN.ŘED.
SPRÁVNÍ ŽALOBA PROTI ROZHODNUTÍ O ODVOLÁNÍ - PV NA ODVOD</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</si>
  <si>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t>
    </r>
    <r>
      <rPr>
        <b/>
        <sz val="16"/>
        <color theme="1"/>
        <rFont val="Calibri"/>
        <family val="2"/>
        <charset val="238"/>
        <scheme val="minor"/>
      </rPr>
      <t>ŽÁDOST O PROMINUTÍ ODVODU A DOSUD NEVYM.PENÁLE NA GENER.FIN.ŘED.
SPRÁVNÍ ŽALOBA PROTI ROZHODNUTÍ O ZAMÍTNUTÍ ODVOLÁNÍ U KRAJSKÉHO SOUDU V PLZNI</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</si>
  <si>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dle rozhodl o náhradě výloh ve prospěch KSÚS
</t>
    </r>
    <r>
      <rPr>
        <b/>
        <sz val="11"/>
        <color theme="1"/>
        <rFont val="Calibri"/>
        <family val="2"/>
        <charset val="238"/>
        <scheme val="minor"/>
      </rPr>
      <t>KONČENÝ STAV - POSTIH ZRUŠEN</t>
    </r>
  </si>
  <si>
    <r>
      <t>ÚOHS 10.4.2014 zamítnul rozklad, rozhodnutí o pokutě nabylo právní, pokuta uhrazena;
10.6.2014 podaná správní žaloba,
na 20.6.2016 předvolána ISŠTE k soudu v Brně; 30 Af 42/2014 - 71  ze dne 20.6.2016 rozsudek soudu ve věci správní žaloby  - zamítnuto</t>
    </r>
    <r>
      <rPr>
        <b/>
        <sz val="11"/>
        <color theme="1"/>
        <rFont val="Calibri"/>
        <family val="2"/>
        <charset val="238"/>
        <scheme val="minor"/>
      </rPr>
      <t xml:space="preserve">
</t>
    </r>
    <r>
      <rPr>
        <sz val="11"/>
        <color theme="1"/>
        <rFont val="Calibri"/>
        <family val="2"/>
        <charset val="238"/>
        <scheme val="minor"/>
      </rPr>
      <t xml:space="preserve">19.7.2016 podala AK kasační stížnost
3. 4. 2017 NSS zamítl kasační stížnost podanou ISŠTE
</t>
    </r>
    <r>
      <rPr>
        <b/>
        <sz val="11"/>
        <color theme="1"/>
        <rFont val="Calibri"/>
        <family val="2"/>
        <charset val="238"/>
        <scheme val="minor"/>
      </rPr>
      <t>OČEKÁVÁME ROZHODNUTÍ ISŠTE, ZDA PODÁ ÚSTAVNÍ STÍŽNOST, V PŘÍPADĚ NEPODÁNÍ SE JEDNÁ O KONEČNÝ STAV</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</si>
  <si>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13. 4. 2017 podáno odvolání proti PV č. 3/2017
</t>
    </r>
    <r>
      <rPr>
        <b/>
        <sz val="11"/>
        <color theme="1"/>
        <rFont val="Calibri"/>
        <family val="2"/>
        <charset val="238"/>
        <scheme val="minor"/>
      </rPr>
      <t>OČEKÁVÁME VYDÁNÍ PLATEBNÍCH VÝMĚRŮ PRO DALŠÍ ZJIŠTĚNÍ; OČEKÁVÁME ROZHODNUTÍ O ODVOLÁNÍ PROTI PLATEBNÍMU VÝMĚRU Č.3/2017</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</si>
  <si>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b/>
        <sz val="11"/>
        <color theme="1"/>
        <rFont val="Calibri"/>
        <family val="2"/>
        <charset val="238"/>
        <scheme val="minor"/>
      </rPr>
      <t>OČEKÁVÁME ZAHÁJENÍ DAŇOVÉHO ŘÍZENÍ A VYSTAVENÍ PLATEBNÍCH VÝMĚRŮ</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</si>
  <si>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b/>
        <sz val="11"/>
        <rFont val="Calibri"/>
        <family val="2"/>
        <charset val="238"/>
        <scheme val="minor"/>
      </rPr>
      <t>OČEKÁVÁME ZAHÁJENÍ DAŇOVÉHO ŘÍZENÍ A VYSTAVENÍ PLATEBNÍCH VÝMĚRŮ</t>
    </r>
  </si>
  <si>
    <r>
      <t>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12. 4. 2017 vyzval Krajský soud v Brně k upravení žalobních petitů, neboť stávající petity byl podle názoru soudu nejednoznačné. Termín pro doplnění byl na základě žádostí KKN o prodloužení stanoven na 17. 5. 2017
28.4.2017 rozhodl předseda ÚOHS o zamítnutí rozkladu, který KKN podala dne 17.2.2017</t>
    </r>
    <r>
      <rPr>
        <b/>
        <sz val="11"/>
        <color theme="1"/>
        <rFont val="Calibri"/>
        <family val="2"/>
        <charset val="238"/>
        <scheme val="minor"/>
      </rPr>
      <t xml:space="preserve">
NA ZÁKLADĚ VÝZVY SPRÁVNÍHO SOUDU KNN PROVÁDÍ DOPLŇOVÁNÍ PETITU ŽALOBY NA OCHRANU PŘED NEOPRÁVNĚNÝM ZÁSAHEM ÚOHS</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</si>
  <si>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sz val="11"/>
        <color theme="1"/>
        <rFont val="Calibri"/>
        <family val="2"/>
        <charset val="238"/>
        <scheme val="minor"/>
      </rPr>
      <t>12. 4. 2017 vyzval Krajský soud v Brně k upravení žalobních petitů, neboť stávající petity byl podle názoru soudu nejednoznačné. Termín pro doplnění byl na základě žádostí KKN o prodloužení stanoven na 17. 5. 2017
28.4.2017 rozhodl předseda ÚOHS o zamítnutí rozkladu, který KKN podala dne 21.2.2017</t>
    </r>
    <r>
      <rPr>
        <b/>
        <sz val="11"/>
        <color theme="1"/>
        <rFont val="Calibri"/>
        <family val="2"/>
        <charset val="238"/>
        <scheme val="minor"/>
      </rPr>
      <t xml:space="preserve">
NA ZÁKLADĚ VÝZVY SPRÁVNÍHO SOUDU KNN PROVÁDÍ DOPLŇOVÁNÍ PETITU ŽALOBY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</si>
  <si>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sz val="11"/>
        <color theme="1"/>
        <rFont val="Calibri"/>
        <family val="2"/>
        <charset val="238"/>
        <scheme val="minor"/>
      </rPr>
      <t>12. 4. 2017 vyzval Krajský soud v Brně k upravení žalobních petitů, neboť stávající petity byl podle názoru soudu nejednoznačné. Termín pro doplnění byl na základě žádostí KKN o prodloužení stanoven na 17. 5. 2017
28.4.2017 rozhodl předseda ÚOHS o zamítnutí rozkladu, který KKN podala dne 21.2.2017</t>
    </r>
    <r>
      <rPr>
        <b/>
        <sz val="11"/>
        <color theme="1"/>
        <rFont val="Calibri"/>
        <family val="2"/>
        <charset val="238"/>
        <scheme val="minor"/>
      </rPr>
      <t xml:space="preserve">
NA ZÁKLADĚ VÝZVY SPRÁVNÍHO SOUDU KNN PROVÁDÍ DOPLŇOVÁNÍ PETITU ŽALOBY NA OCHRANU PŘED NEOPRÁVNĚNÝM ZÁSAHEM ÚOHS</t>
    </r>
  </si>
  <si>
    <r>
      <t>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12. 4. 2017 vyzval Krajský soud v Brně k upravení žalobních petitů, neboť stávající petity byl podle názoru soudu nejednoznačné. Termín pro doplnění byl na základě žádostí KKN o prodloužení stanoven na 17. 5. 2017
28.4.2017 rozhodl předseda ÚOHS o zamítnutí rozkladu, který KKN podala dne 21.2.2017</t>
    </r>
    <r>
      <rPr>
        <b/>
        <sz val="11"/>
        <color theme="1"/>
        <rFont val="Calibri"/>
        <family val="2"/>
        <charset val="238"/>
        <scheme val="minor"/>
      </rPr>
      <t xml:space="preserve">
NA ZÁKLADĚ VÝZVY SPRÁVNÍHO SOUDU KNN PROVÁDÍ DOPLŇOVÁNÍ PETITU ŽALOBY NA OCHRANU PŘED NEOPRÁVNĚNÝM ZÁSAHEM ÚOHS</t>
    </r>
  </si>
  <si>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ÚRR je povinen vrátit 33.160.392,- Kč
 na účet školy - 
21.6.2016 ISŠTE podala žádost o vratku vratitelného přeplatku - prozatím správce daně částku nevrátil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t>
    </r>
    <r>
      <rPr>
        <b/>
        <sz val="11"/>
        <color theme="1"/>
        <rFont val="Calibri"/>
        <family val="2"/>
        <charset val="238"/>
        <scheme val="minor"/>
      </rPr>
      <t xml:space="preserve">OČEKÁVÁNO ROZHODNUTÍ MINISTERSTVA FINANCÍ  OHLEDNĚ POVINOSTI POSKYTOVATELE DOTACE PROVÉST VRATKU VE VÝŠI 33.160.392,- KČ + ÚROKY </t>
    </r>
  </si>
  <si>
    <r>
      <t xml:space="preserve">FÚ odvod - datum úhrady 7/2013, FÚ penále - datum úhrady 7/2013, FÚ úrok z posečkání za odvod a penále - datum úhrady 9/2013, FÚ odvod - doplatek - datum úhrady 8/2013
</t>
    </r>
    <r>
      <rPr>
        <b/>
        <sz val="11"/>
        <color theme="1"/>
        <rFont val="Calibri"/>
        <family val="2"/>
        <charset val="238"/>
        <scheme val="minor"/>
      </rPr>
      <t xml:space="preserve">KONEČNÝ STAV - PROTI KRÁCENÍ NEJSOU JIŽ ŽÁDNÉ MOŽNOSTI OBRANY
</t>
    </r>
    <r>
      <rPr>
        <sz val="11"/>
        <color theme="1"/>
        <rFont val="Calibri"/>
        <family val="2"/>
        <charset val="238"/>
        <scheme val="minor"/>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theme="1"/>
        <rFont val="Calibri"/>
        <family val="2"/>
        <charset val="238"/>
        <scheme val="minor"/>
      </rPr>
      <t>PROBÍHAJÍ KONZULTACE MEZI ŘEDITELEM ŠKOLY A PRÁVNÍ KANCELÁŘÍ O ZAHÁJENÍ OBČANSKOPRÁVNÍHO SPORU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</si>
</sst>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3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sz val="11"/>
      <color theme="7"/>
      <name val="Calibri"/>
      <family val="2"/>
      <charset val="238"/>
      <scheme val="minor"/>
    </font>
    <font>
      <sz val="12"/>
      <color theme="3" tint="0.39997558519241921"/>
      <name val="Calibri"/>
      <family val="2"/>
      <charset val="238"/>
      <scheme val="minor"/>
    </font>
    <font>
      <b/>
      <sz val="16"/>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95" fillId="0" borderId="0"/>
    <xf numFmtId="0" fontId="96" fillId="0" borderId="0"/>
    <xf numFmtId="0" fontId="87" fillId="0" borderId="0"/>
    <xf numFmtId="0" fontId="97" fillId="0" borderId="0"/>
    <xf numFmtId="0" fontId="87" fillId="0" borderId="0"/>
    <xf numFmtId="0" fontId="86" fillId="0" borderId="0"/>
    <xf numFmtId="0" fontId="85" fillId="11" borderId="1"/>
    <xf numFmtId="0" fontId="83" fillId="0" borderId="0"/>
    <xf numFmtId="0" fontId="82" fillId="0" borderId="0"/>
  </cellStyleXfs>
  <cellXfs count="1150">
    <xf numFmtId="0" fontId="0" fillId="0" borderId="0" xfId="0"/>
    <xf numFmtId="0" fontId="89" fillId="0" borderId="0" xfId="0" applyFont="1"/>
    <xf numFmtId="0" fontId="91" fillId="0" borderId="1" xfId="0" applyFont="1" applyBorder="1" applyAlignment="1">
      <alignment horizontal="center" vertical="center"/>
    </xf>
    <xf numFmtId="0" fontId="87"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92"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87"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93" fillId="0" borderId="0" xfId="0" applyNumberFormat="1" applyFont="1" applyAlignment="1">
      <alignment horizontal="center" vertical="center"/>
    </xf>
    <xf numFmtId="4" fontId="0" fillId="0" borderId="0" xfId="0" applyNumberFormat="1" applyAlignment="1">
      <alignment vertical="center"/>
    </xf>
    <xf numFmtId="0" fontId="88" fillId="0" borderId="0" xfId="0" applyFont="1"/>
    <xf numFmtId="0" fontId="0" fillId="0" borderId="0" xfId="0" applyAlignment="1">
      <alignment horizontal="center"/>
    </xf>
    <xf numFmtId="0" fontId="88" fillId="0" borderId="0" xfId="0" applyFont="1" applyFill="1"/>
    <xf numFmtId="4" fontId="94" fillId="0" borderId="1" xfId="0" applyNumberFormat="1" applyFont="1" applyBorder="1" applyAlignment="1">
      <alignment horizontal="right" vertical="center" wrapText="1"/>
    </xf>
    <xf numFmtId="0" fontId="87" fillId="0" borderId="6" xfId="5" applyBorder="1" applyAlignment="1">
      <alignment vertical="center" wrapText="1"/>
    </xf>
    <xf numFmtId="0" fontId="87" fillId="0" borderId="2" xfId="5" applyBorder="1" applyAlignment="1">
      <alignment vertical="center" wrapText="1"/>
    </xf>
    <xf numFmtId="0" fontId="87" fillId="0" borderId="2" xfId="5" applyBorder="1" applyAlignment="1">
      <alignment horizontal="left" vertical="center" wrapText="1"/>
    </xf>
    <xf numFmtId="0" fontId="0" fillId="0" borderId="1" xfId="0" applyFill="1" applyBorder="1"/>
    <xf numFmtId="4" fontId="87" fillId="0" borderId="2" xfId="0" applyNumberFormat="1" applyFont="1" applyBorder="1" applyAlignment="1">
      <alignment vertical="center"/>
    </xf>
    <xf numFmtId="0" fontId="87" fillId="0" borderId="4" xfId="0" applyFont="1" applyBorder="1" applyAlignment="1">
      <alignment vertical="center" wrapText="1"/>
    </xf>
    <xf numFmtId="0" fontId="0" fillId="0" borderId="4" xfId="0" applyBorder="1" applyAlignment="1">
      <alignment horizontal="center" vertical="center"/>
    </xf>
    <xf numFmtId="0" fontId="90" fillId="4" borderId="8" xfId="0" applyFont="1" applyFill="1" applyBorder="1" applyAlignment="1">
      <alignment horizontal="center" vertical="center" textRotation="90" wrapText="1"/>
    </xf>
    <xf numFmtId="0" fontId="90" fillId="4" borderId="8" xfId="0" applyFont="1" applyFill="1" applyBorder="1" applyAlignment="1">
      <alignment horizontal="center" vertical="center" wrapText="1"/>
    </xf>
    <xf numFmtId="0" fontId="90"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90" fillId="4" borderId="11" xfId="0" applyFont="1" applyFill="1" applyBorder="1" applyAlignment="1">
      <alignment horizontal="center" vertical="center" wrapText="1"/>
    </xf>
    <xf numFmtId="0" fontId="90" fillId="4" borderId="13" xfId="0" applyFont="1" applyFill="1" applyBorder="1" applyAlignment="1">
      <alignment horizontal="center" vertical="center" wrapText="1"/>
    </xf>
    <xf numFmtId="0" fontId="90" fillId="4" borderId="14" xfId="0" applyFont="1" applyFill="1" applyBorder="1" applyAlignment="1">
      <alignment horizontal="center" vertical="center" wrapText="1"/>
    </xf>
    <xf numFmtId="0" fontId="0" fillId="0" borderId="15" xfId="0" applyBorder="1" applyAlignment="1">
      <alignment horizontal="left" vertical="center" wrapText="1"/>
    </xf>
    <xf numFmtId="0" fontId="94"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98" fillId="0" borderId="17" xfId="5" applyFont="1" applyBorder="1" applyAlignment="1">
      <alignment horizontal="left" vertical="center" wrapText="1"/>
    </xf>
    <xf numFmtId="0" fontId="98" fillId="3" borderId="18" xfId="0" applyFont="1" applyFill="1" applyBorder="1" applyAlignment="1">
      <alignment horizontal="left" vertical="center" wrapText="1"/>
    </xf>
    <xf numFmtId="0" fontId="87" fillId="0" borderId="17" xfId="5" applyFont="1" applyBorder="1" applyAlignment="1">
      <alignment horizontal="left" vertical="center" wrapText="1"/>
    </xf>
    <xf numFmtId="0" fontId="98" fillId="0" borderId="17" xfId="5" applyFont="1" applyBorder="1" applyAlignment="1">
      <alignment vertical="center" wrapText="1"/>
    </xf>
    <xf numFmtId="0" fontId="0" fillId="0" borderId="2" xfId="0" applyFill="1" applyBorder="1"/>
    <xf numFmtId="0" fontId="90"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88" fillId="3" borderId="0" xfId="0" applyFont="1" applyFill="1"/>
    <xf numFmtId="0" fontId="88" fillId="7" borderId="0" xfId="0" applyFont="1" applyFill="1"/>
    <xf numFmtId="0" fontId="88" fillId="0" borderId="0" xfId="0" applyFont="1" applyAlignment="1">
      <alignment vertical="center"/>
    </xf>
    <xf numFmtId="0" fontId="88" fillId="9" borderId="0" xfId="0" applyFont="1" applyFill="1" applyBorder="1"/>
    <xf numFmtId="0" fontId="88" fillId="8" borderId="0" xfId="0" applyFont="1" applyFill="1" applyBorder="1"/>
    <xf numFmtId="0" fontId="88" fillId="10" borderId="0" xfId="0" applyFont="1" applyFill="1"/>
    <xf numFmtId="0" fontId="0" fillId="10" borderId="18" xfId="0" applyFill="1" applyBorder="1" applyAlignment="1">
      <alignment horizontal="left" vertical="center" wrapText="1"/>
    </xf>
    <xf numFmtId="0" fontId="91" fillId="0" borderId="0" xfId="0" applyFont="1" applyBorder="1" applyAlignment="1">
      <alignment horizontal="center" vertical="center"/>
    </xf>
    <xf numFmtId="0" fontId="87" fillId="0" borderId="0" xfId="0" applyFont="1" applyBorder="1" applyAlignment="1">
      <alignment vertical="center" wrapText="1"/>
    </xf>
    <xf numFmtId="0" fontId="0" fillId="0" borderId="0" xfId="0" applyBorder="1" applyAlignment="1">
      <alignment horizontal="left" vertical="center" wrapText="1"/>
    </xf>
    <xf numFmtId="0" fontId="87" fillId="0" borderId="0" xfId="0" applyFont="1" applyBorder="1" applyAlignment="1">
      <alignment horizontal="center" vertical="center"/>
    </xf>
    <xf numFmtId="4" fontId="87" fillId="0" borderId="0" xfId="0" applyNumberFormat="1" applyFont="1" applyBorder="1" applyAlignment="1">
      <alignment vertical="center"/>
    </xf>
    <xf numFmtId="4" fontId="94" fillId="0" borderId="0" xfId="0" applyNumberFormat="1" applyFont="1" applyBorder="1" applyAlignment="1">
      <alignment horizontal="right" vertical="center" wrapText="1"/>
    </xf>
    <xf numFmtId="0" fontId="98"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01" fillId="0" borderId="1" xfId="0" applyFont="1" applyBorder="1" applyAlignment="1">
      <alignment horizontal="center" vertical="center"/>
    </xf>
    <xf numFmtId="0" fontId="94" fillId="0" borderId="1" xfId="0" applyFont="1" applyBorder="1" applyAlignment="1">
      <alignment vertical="center" wrapText="1"/>
    </xf>
    <xf numFmtId="0" fontId="94" fillId="0" borderId="2" xfId="5" applyFont="1" applyBorder="1" applyAlignment="1">
      <alignment horizontal="left" vertical="center" wrapText="1"/>
    </xf>
    <xf numFmtId="0" fontId="94" fillId="0" borderId="1" xfId="0" applyFont="1" applyBorder="1" applyAlignment="1">
      <alignment horizontal="center" vertical="center"/>
    </xf>
    <xf numFmtId="0" fontId="94" fillId="0" borderId="1" xfId="0" applyFont="1" applyBorder="1"/>
    <xf numFmtId="0" fontId="94" fillId="0" borderId="2" xfId="0" applyFont="1" applyBorder="1"/>
    <xf numFmtId="0" fontId="94" fillId="0" borderId="17" xfId="5" applyFont="1" applyBorder="1" applyAlignment="1">
      <alignment vertical="center" wrapText="1"/>
    </xf>
    <xf numFmtId="0" fontId="94" fillId="10" borderId="18" xfId="0" applyFont="1" applyFill="1" applyBorder="1" applyAlignment="1">
      <alignment horizontal="left" vertical="center" wrapText="1"/>
    </xf>
    <xf numFmtId="0" fontId="102" fillId="0" borderId="5" xfId="0" applyFont="1" applyFill="1" applyBorder="1" applyAlignment="1">
      <alignment horizontal="center" vertical="center" wrapText="1"/>
    </xf>
    <xf numFmtId="0" fontId="102" fillId="0" borderId="2" xfId="0" applyFont="1" applyFill="1" applyBorder="1" applyAlignment="1">
      <alignment horizontal="center" vertical="center" wrapText="1"/>
    </xf>
    <xf numFmtId="0" fontId="84" fillId="0" borderId="1" xfId="0" applyFont="1" applyBorder="1" applyAlignment="1">
      <alignment vertical="center" wrapText="1"/>
    </xf>
    <xf numFmtId="0" fontId="84" fillId="10" borderId="18" xfId="5" applyFont="1" applyFill="1" applyBorder="1" applyAlignment="1">
      <alignment horizontal="left" vertical="center" wrapText="1"/>
    </xf>
    <xf numFmtId="0" fontId="84" fillId="0" borderId="18" xfId="5" applyFont="1" applyBorder="1" applyAlignment="1">
      <alignment horizontal="left" vertical="center" wrapText="1"/>
    </xf>
    <xf numFmtId="0" fontId="84"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03"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99" fillId="0" borderId="5" xfId="0" applyFont="1" applyFill="1" applyBorder="1"/>
    <xf numFmtId="0" fontId="99" fillId="0" borderId="1" xfId="0" applyFont="1" applyFill="1" applyBorder="1"/>
    <xf numFmtId="0" fontId="99" fillId="0" borderId="2" xfId="0" applyFont="1" applyFill="1" applyBorder="1"/>
    <xf numFmtId="0" fontId="0" fillId="0" borderId="6" xfId="0" applyBorder="1" applyAlignment="1">
      <alignment horizontal="left" vertical="center" wrapText="1"/>
    </xf>
    <xf numFmtId="0" fontId="98"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91" fillId="0" borderId="8" xfId="0" applyFont="1" applyBorder="1" applyAlignment="1">
      <alignment horizontal="center" vertical="center"/>
    </xf>
    <xf numFmtId="0" fontId="87" fillId="0" borderId="8" xfId="0" applyFont="1" applyBorder="1" applyAlignment="1">
      <alignment vertical="center" wrapText="1"/>
    </xf>
    <xf numFmtId="0" fontId="87" fillId="2" borderId="8" xfId="0" applyFont="1" applyFill="1" applyBorder="1" applyAlignment="1">
      <alignment vertical="center" wrapText="1"/>
    </xf>
    <xf numFmtId="0" fontId="0" fillId="0" borderId="9" xfId="0" applyBorder="1" applyAlignment="1">
      <alignment horizontal="left" vertical="center" wrapText="1"/>
    </xf>
    <xf numFmtId="0" fontId="87" fillId="0" borderId="8" xfId="0" applyFont="1" applyBorder="1" applyAlignment="1">
      <alignment horizontal="center" vertical="center"/>
    </xf>
    <xf numFmtId="4" fontId="87" fillId="0" borderId="8" xfId="0" applyNumberFormat="1" applyFont="1" applyBorder="1" applyAlignment="1">
      <alignment vertical="center"/>
    </xf>
    <xf numFmtId="4" fontId="94" fillId="0" borderId="8" xfId="0" applyNumberFormat="1" applyFont="1" applyBorder="1" applyAlignment="1">
      <alignment horizontal="right" vertical="center" wrapText="1"/>
    </xf>
    <xf numFmtId="4" fontId="87" fillId="0" borderId="9" xfId="0" applyNumberFormat="1" applyFont="1" applyBorder="1" applyAlignment="1">
      <alignment vertical="center"/>
    </xf>
    <xf numFmtId="0" fontId="98"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88" fillId="0" borderId="4" xfId="0" applyFont="1" applyBorder="1" applyAlignment="1">
      <alignment vertical="center" wrapText="1"/>
    </xf>
    <xf numFmtId="0" fontId="88" fillId="2" borderId="4" xfId="0" applyFont="1" applyFill="1" applyBorder="1" applyAlignment="1">
      <alignment vertical="center" wrapText="1"/>
    </xf>
    <xf numFmtId="4" fontId="88" fillId="0" borderId="4" xfId="0" applyNumberFormat="1" applyFont="1" applyBorder="1" applyAlignment="1">
      <alignment vertical="center"/>
    </xf>
    <xf numFmtId="4" fontId="104" fillId="0" borderId="4" xfId="0" applyNumberFormat="1" applyFont="1" applyBorder="1" applyAlignment="1">
      <alignment horizontal="right" vertical="center" wrapText="1"/>
    </xf>
    <xf numFmtId="4" fontId="88" fillId="0" borderId="6" xfId="0" applyNumberFormat="1" applyFont="1" applyBorder="1" applyAlignment="1">
      <alignment vertical="center"/>
    </xf>
    <xf numFmtId="0" fontId="98" fillId="0" borderId="1" xfId="0" applyFont="1" applyBorder="1" applyAlignment="1">
      <alignment vertical="center" wrapText="1"/>
    </xf>
    <xf numFmtId="0" fontId="98" fillId="0" borderId="2" xfId="5" applyFont="1" applyBorder="1" applyAlignment="1">
      <alignment horizontal="left" vertical="center" wrapText="1"/>
    </xf>
    <xf numFmtId="0" fontId="98" fillId="0" borderId="1" xfId="0" applyFont="1" applyBorder="1" applyAlignment="1">
      <alignment horizontal="center" vertical="center"/>
    </xf>
    <xf numFmtId="4" fontId="98" fillId="0" borderId="1" xfId="0" applyNumberFormat="1" applyFont="1" applyBorder="1" applyAlignment="1">
      <alignment horizontal="right" vertical="center" wrapText="1"/>
    </xf>
    <xf numFmtId="0" fontId="98" fillId="0" borderId="2" xfId="0" applyFont="1" applyBorder="1"/>
    <xf numFmtId="0" fontId="98" fillId="0" borderId="18" xfId="0" applyFont="1" applyFill="1" applyBorder="1" applyAlignment="1">
      <alignment horizontal="left" vertical="center" wrapText="1"/>
    </xf>
    <xf numFmtId="4" fontId="94" fillId="0" borderId="4" xfId="0" applyNumberFormat="1" applyFont="1" applyBorder="1" applyAlignment="1">
      <alignment vertical="center"/>
    </xf>
    <xf numFmtId="0" fontId="0" fillId="0" borderId="0" xfId="0" applyBorder="1"/>
    <xf numFmtId="0" fontId="91" fillId="0" borderId="4" xfId="0" applyFont="1" applyBorder="1" applyAlignment="1">
      <alignment horizontal="center" vertical="center"/>
    </xf>
    <xf numFmtId="0" fontId="87" fillId="0" borderId="4" xfId="5" applyBorder="1" applyAlignment="1">
      <alignment horizontal="left" vertical="center" wrapText="1"/>
    </xf>
    <xf numFmtId="0" fontId="87" fillId="0" borderId="4" xfId="0" applyFont="1" applyBorder="1" applyAlignment="1">
      <alignment horizontal="center" vertical="center"/>
    </xf>
    <xf numFmtId="4" fontId="92"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98" fillId="0" borderId="2" xfId="0" applyNumberFormat="1" applyFont="1" applyBorder="1" applyAlignment="1">
      <alignment horizontal="right" vertical="center" wrapText="1"/>
    </xf>
    <xf numFmtId="4" fontId="94" fillId="0" borderId="6" xfId="0" applyNumberFormat="1" applyFont="1" applyBorder="1" applyAlignment="1">
      <alignment vertical="center"/>
    </xf>
    <xf numFmtId="4" fontId="94" fillId="0" borderId="9" xfId="0" applyNumberFormat="1" applyFont="1" applyBorder="1" applyAlignment="1">
      <alignment horizontal="right" vertical="center" wrapText="1"/>
    </xf>
    <xf numFmtId="4" fontId="104"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88" fillId="0" borderId="0" xfId="0" applyFont="1" applyFill="1" applyAlignment="1">
      <alignment vertical="center"/>
    </xf>
    <xf numFmtId="0" fontId="88" fillId="0" borderId="0" xfId="0" applyFont="1" applyFill="1" applyBorder="1"/>
    <xf numFmtId="0" fontId="0" fillId="0" borderId="28" xfId="0" applyBorder="1"/>
    <xf numFmtId="0" fontId="0" fillId="0" borderId="27" xfId="0" applyBorder="1"/>
    <xf numFmtId="4" fontId="94"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83" fillId="0" borderId="0" xfId="0" applyFont="1" applyBorder="1" applyAlignment="1">
      <alignment vertical="center" wrapText="1"/>
    </xf>
    <xf numFmtId="0" fontId="83" fillId="0" borderId="0" xfId="0" applyFont="1" applyBorder="1" applyAlignment="1">
      <alignment horizontal="center" vertical="center"/>
    </xf>
    <xf numFmtId="4" fontId="83" fillId="0" borderId="0" xfId="0" applyNumberFormat="1" applyFont="1" applyBorder="1" applyAlignment="1">
      <alignment vertical="center"/>
    </xf>
    <xf numFmtId="0" fontId="83" fillId="0" borderId="0" xfId="0" applyFont="1" applyFill="1" applyBorder="1" applyAlignment="1">
      <alignment vertical="center" wrapText="1"/>
    </xf>
    <xf numFmtId="0" fontId="83" fillId="0" borderId="0" xfId="0" applyFont="1" applyFill="1" applyBorder="1" applyAlignment="1">
      <alignment horizontal="center" vertical="center"/>
    </xf>
    <xf numFmtId="4" fontId="83" fillId="0" borderId="0" xfId="0" applyNumberFormat="1" applyFont="1" applyFill="1" applyBorder="1" applyAlignment="1">
      <alignment horizontal="center" vertical="center"/>
    </xf>
    <xf numFmtId="0" fontId="105" fillId="0" borderId="0" xfId="0" applyFont="1" applyFill="1"/>
    <xf numFmtId="0" fontId="105" fillId="0" borderId="0" xfId="0" applyFont="1" applyFill="1" applyBorder="1" applyAlignment="1"/>
    <xf numFmtId="0" fontId="108" fillId="0" borderId="0" xfId="0" applyFont="1"/>
    <xf numFmtId="10" fontId="0" fillId="0" borderId="0" xfId="0" applyNumberFormat="1"/>
    <xf numFmtId="0" fontId="107" fillId="0" borderId="0" xfId="0" applyFont="1"/>
    <xf numFmtId="10" fontId="107" fillId="0" borderId="0" xfId="0" applyNumberFormat="1" applyFont="1"/>
    <xf numFmtId="0" fontId="107" fillId="0" borderId="0" xfId="0" applyFont="1" applyAlignment="1">
      <alignment horizontal="left" vertical="top"/>
    </xf>
    <xf numFmtId="0" fontId="109" fillId="0" borderId="0" xfId="0" applyFont="1" applyBorder="1" applyAlignment="1">
      <alignment horizontal="left" vertical="center" wrapText="1"/>
    </xf>
    <xf numFmtId="10" fontId="94" fillId="0" borderId="0" xfId="0" applyNumberFormat="1" applyFont="1" applyBorder="1" applyAlignment="1">
      <alignment horizontal="left" vertical="center" wrapText="1"/>
    </xf>
    <xf numFmtId="10" fontId="94" fillId="0" borderId="0" xfId="0" applyNumberFormat="1" applyFont="1" applyBorder="1" applyAlignment="1">
      <alignment horizontal="center" vertical="center" wrapText="1"/>
    </xf>
    <xf numFmtId="0" fontId="109" fillId="0" borderId="0" xfId="0" applyFont="1" applyFill="1" applyBorder="1" applyAlignment="1">
      <alignment horizontal="left" vertical="center" wrapText="1"/>
    </xf>
    <xf numFmtId="4" fontId="109" fillId="0" borderId="0" xfId="0" applyNumberFormat="1" applyFont="1" applyFill="1" applyBorder="1" applyAlignment="1">
      <alignment horizontal="right" vertical="center"/>
    </xf>
    <xf numFmtId="4" fontId="110" fillId="0" borderId="0" xfId="0" applyNumberFormat="1" applyFont="1" applyFill="1" applyBorder="1" applyAlignment="1">
      <alignment horizontal="right" vertical="center"/>
    </xf>
    <xf numFmtId="10" fontId="109" fillId="0" borderId="0" xfId="0" applyNumberFormat="1" applyFont="1" applyFill="1" applyBorder="1" applyAlignment="1">
      <alignment horizontal="center" vertical="center"/>
    </xf>
    <xf numFmtId="0" fontId="89" fillId="0" borderId="0" xfId="0" applyFont="1" applyFill="1" applyBorder="1" applyAlignment="1">
      <alignment vertical="center"/>
    </xf>
    <xf numFmtId="0" fontId="114" fillId="17" borderId="8" xfId="0" applyFont="1" applyFill="1" applyBorder="1" applyAlignment="1">
      <alignment horizontal="center" vertical="center" wrapText="1"/>
    </xf>
    <xf numFmtId="0" fontId="114" fillId="17" borderId="9" xfId="0" applyFont="1" applyFill="1" applyBorder="1" applyAlignment="1">
      <alignment horizontal="center" vertical="center" wrapText="1"/>
    </xf>
    <xf numFmtId="0" fontId="114" fillId="17" borderId="23" xfId="0" applyFont="1" applyFill="1" applyBorder="1" applyAlignment="1">
      <alignment horizontal="center" vertical="center" wrapText="1"/>
    </xf>
    <xf numFmtId="0" fontId="114" fillId="17" borderId="11" xfId="0" applyFont="1" applyFill="1" applyBorder="1" applyAlignment="1">
      <alignment horizontal="center" vertical="center" wrapText="1"/>
    </xf>
    <xf numFmtId="10" fontId="81"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4" fontId="81" fillId="2" borderId="5" xfId="0" applyNumberFormat="1" applyFont="1" applyFill="1" applyBorder="1" applyAlignment="1">
      <alignment horizontal="right" vertical="center"/>
    </xf>
    <xf numFmtId="4" fontId="81" fillId="0" borderId="2" xfId="0" applyNumberFormat="1" applyFont="1" applyBorder="1" applyAlignment="1">
      <alignment horizontal="right" vertical="center"/>
    </xf>
    <xf numFmtId="0" fontId="81" fillId="0" borderId="5" xfId="0" applyFont="1" applyBorder="1" applyAlignment="1">
      <alignment vertical="center" wrapText="1"/>
    </xf>
    <xf numFmtId="4" fontId="99" fillId="2" borderId="5" xfId="0" applyNumberFormat="1" applyFont="1" applyFill="1" applyBorder="1" applyAlignment="1">
      <alignment horizontal="right" vertical="center"/>
    </xf>
    <xf numFmtId="4" fontId="81" fillId="2" borderId="2" xfId="0" applyNumberFormat="1" applyFont="1" applyFill="1" applyBorder="1" applyAlignment="1">
      <alignment horizontal="right" vertical="center"/>
    </xf>
    <xf numFmtId="0" fontId="81" fillId="2" borderId="2" xfId="0" applyFont="1" applyFill="1" applyBorder="1" applyAlignment="1">
      <alignment horizontal="left" vertical="center" wrapText="1"/>
    </xf>
    <xf numFmtId="4" fontId="112" fillId="2" borderId="5" xfId="0" applyNumberFormat="1" applyFont="1" applyFill="1" applyBorder="1" applyAlignment="1">
      <alignment horizontal="right" vertical="center"/>
    </xf>
    <xf numFmtId="4" fontId="98" fillId="2" borderId="22" xfId="0" applyNumberFormat="1" applyFont="1" applyFill="1" applyBorder="1" applyAlignment="1">
      <alignment horizontal="right" vertical="center" wrapText="1"/>
    </xf>
    <xf numFmtId="4" fontId="99" fillId="2" borderId="5" xfId="0" applyNumberFormat="1" applyFont="1" applyFill="1" applyBorder="1" applyAlignment="1">
      <alignment horizontal="right" vertical="center" wrapText="1"/>
    </xf>
    <xf numFmtId="0" fontId="81" fillId="0" borderId="2" xfId="0" applyFont="1" applyFill="1" applyBorder="1" applyAlignment="1">
      <alignment horizontal="left" vertical="center" wrapText="1"/>
    </xf>
    <xf numFmtId="0" fontId="81" fillId="0" borderId="1" xfId="0" applyFont="1" applyFill="1" applyBorder="1" applyAlignment="1">
      <alignment vertical="center" wrapText="1"/>
    </xf>
    <xf numFmtId="0" fontId="81" fillId="0" borderId="1" xfId="8" applyFont="1" applyBorder="1" applyAlignment="1">
      <alignment vertical="center" wrapText="1"/>
    </xf>
    <xf numFmtId="0" fontId="81" fillId="0" borderId="1" xfId="0" applyFont="1" applyBorder="1" applyAlignment="1">
      <alignment horizontal="left" vertical="center"/>
    </xf>
    <xf numFmtId="4" fontId="81" fillId="0" borderId="1" xfId="0" applyNumberFormat="1" applyFont="1" applyBorder="1" applyAlignment="1">
      <alignment horizontal="right" vertical="center"/>
    </xf>
    <xf numFmtId="0" fontId="81" fillId="0" borderId="1" xfId="0" applyFont="1" applyBorder="1" applyAlignment="1">
      <alignment horizontal="left" vertical="center" wrapText="1"/>
    </xf>
    <xf numFmtId="0" fontId="81" fillId="2" borderId="1" xfId="0" applyFont="1" applyFill="1" applyBorder="1" applyAlignment="1">
      <alignment vertical="center" wrapText="1"/>
    </xf>
    <xf numFmtId="0" fontId="81" fillId="2" borderId="2" xfId="0" applyFont="1" applyFill="1" applyBorder="1" applyAlignment="1">
      <alignment vertical="center" wrapText="1"/>
    </xf>
    <xf numFmtId="4" fontId="81" fillId="0" borderId="2" xfId="0" applyNumberFormat="1" applyFont="1" applyFill="1" applyBorder="1" applyAlignment="1">
      <alignment horizontal="right" vertical="center"/>
    </xf>
    <xf numFmtId="0" fontId="81" fillId="0" borderId="2" xfId="0" applyFont="1" applyBorder="1" applyAlignment="1">
      <alignment horizontal="right"/>
    </xf>
    <xf numFmtId="0" fontId="81" fillId="2" borderId="1" xfId="0" applyFont="1" applyFill="1" applyBorder="1" applyAlignment="1">
      <alignment horizontal="left" vertical="center"/>
    </xf>
    <xf numFmtId="2" fontId="99" fillId="2" borderId="5" xfId="0" applyNumberFormat="1" applyFont="1" applyFill="1" applyBorder="1" applyAlignment="1">
      <alignment horizontal="right" vertical="center"/>
    </xf>
    <xf numFmtId="0" fontId="92" fillId="0" borderId="1" xfId="8" applyFont="1" applyBorder="1" applyAlignment="1">
      <alignment horizontal="left" vertical="center" wrapText="1"/>
    </xf>
    <xf numFmtId="4" fontId="92" fillId="0" borderId="1" xfId="0" applyNumberFormat="1" applyFont="1" applyFill="1" applyBorder="1" applyAlignment="1">
      <alignment horizontal="right" vertical="center"/>
    </xf>
    <xf numFmtId="4" fontId="81" fillId="0" borderId="22" xfId="0" applyNumberFormat="1" applyFont="1" applyFill="1" applyBorder="1" applyAlignment="1">
      <alignment horizontal="right" vertical="center"/>
    </xf>
    <xf numFmtId="0" fontId="98" fillId="0" borderId="1" xfId="0" applyFont="1" applyFill="1" applyBorder="1" applyAlignment="1">
      <alignment vertical="center" wrapText="1"/>
    </xf>
    <xf numFmtId="0" fontId="98" fillId="0" borderId="1" xfId="0" applyFont="1" applyBorder="1" applyAlignment="1">
      <alignment horizontal="left" vertical="center"/>
    </xf>
    <xf numFmtId="0" fontId="98" fillId="2" borderId="1" xfId="0" applyFont="1" applyFill="1" applyBorder="1" applyAlignment="1">
      <alignment horizontal="left" vertical="center" wrapText="1"/>
    </xf>
    <xf numFmtId="0" fontId="98" fillId="0" borderId="2" xfId="0" applyFont="1" applyFill="1" applyBorder="1" applyAlignment="1">
      <alignment horizontal="left" vertical="center" wrapText="1"/>
    </xf>
    <xf numFmtId="4" fontId="98" fillId="2" borderId="22" xfId="0" applyNumberFormat="1" applyFont="1" applyFill="1" applyBorder="1" applyAlignment="1">
      <alignment horizontal="right" vertical="center"/>
    </xf>
    <xf numFmtId="0" fontId="98" fillId="0" borderId="4" xfId="9" applyFont="1" applyBorder="1" applyAlignment="1">
      <alignment horizontal="left" vertical="center" wrapText="1"/>
    </xf>
    <xf numFmtId="4" fontId="98" fillId="0" borderId="2" xfId="0" applyNumberFormat="1" applyFont="1" applyBorder="1" applyAlignment="1">
      <alignment horizontal="right" vertical="center"/>
    </xf>
    <xf numFmtId="0" fontId="81" fillId="2" borderId="6" xfId="0" applyFont="1" applyFill="1" applyBorder="1" applyAlignment="1">
      <alignment horizontal="left" vertical="center" wrapText="1"/>
    </xf>
    <xf numFmtId="0" fontId="92" fillId="0" borderId="1" xfId="0" applyFont="1" applyBorder="1" applyAlignment="1">
      <alignment vertical="center" wrapText="1"/>
    </xf>
    <xf numFmtId="0" fontId="81" fillId="0" borderId="1" xfId="0" applyFont="1" applyBorder="1" applyAlignment="1">
      <alignment vertical="center"/>
    </xf>
    <xf numFmtId="10" fontId="104" fillId="17" borderId="43" xfId="0" applyNumberFormat="1" applyFont="1" applyFill="1" applyBorder="1" applyAlignment="1">
      <alignment horizontal="center" vertical="center" wrapText="1"/>
    </xf>
    <xf numFmtId="0" fontId="88" fillId="0" borderId="6" xfId="0" applyFont="1" applyBorder="1" applyAlignment="1">
      <alignment horizontal="center" vertical="center"/>
    </xf>
    <xf numFmtId="0" fontId="98" fillId="0" borderId="24" xfId="0" applyFont="1" applyFill="1" applyBorder="1" applyAlignment="1">
      <alignment horizontal="center" vertical="center"/>
    </xf>
    <xf numFmtId="4" fontId="102" fillId="0" borderId="12" xfId="0" applyNumberFormat="1" applyFont="1" applyFill="1" applyBorder="1" applyAlignment="1">
      <alignment vertical="center"/>
    </xf>
    <xf numFmtId="4" fontId="98" fillId="0" borderId="6" xfId="0" applyNumberFormat="1" applyFont="1" applyFill="1" applyBorder="1" applyAlignment="1">
      <alignment horizontal="center" vertical="center" wrapText="1"/>
    </xf>
    <xf numFmtId="4" fontId="98" fillId="0" borderId="24" xfId="0" applyNumberFormat="1" applyFont="1" applyFill="1" applyBorder="1" applyAlignment="1">
      <alignment horizontal="center" vertical="center" wrapText="1"/>
    </xf>
    <xf numFmtId="0" fontId="98" fillId="0" borderId="22" xfId="0" applyFont="1" applyBorder="1" applyAlignment="1">
      <alignment horizontal="center" vertical="center"/>
    </xf>
    <xf numFmtId="4" fontId="111" fillId="0" borderId="5" xfId="0" applyNumberFormat="1" applyFont="1" applyFill="1" applyBorder="1" applyAlignment="1">
      <alignment vertical="center"/>
    </xf>
    <xf numFmtId="4" fontId="88" fillId="0" borderId="2" xfId="0" applyNumberFormat="1" applyFont="1" applyFill="1" applyBorder="1" applyAlignment="1">
      <alignment vertical="center"/>
    </xf>
    <xf numFmtId="4" fontId="81" fillId="0" borderId="22" xfId="0" applyNumberFormat="1" applyFont="1" applyBorder="1" applyAlignment="1">
      <alignment horizontal="center" vertical="center"/>
    </xf>
    <xf numFmtId="0" fontId="90" fillId="17" borderId="33" xfId="0" applyFont="1" applyFill="1" applyBorder="1" applyAlignment="1">
      <alignment vertical="center" wrapText="1"/>
    </xf>
    <xf numFmtId="0" fontId="113" fillId="17" borderId="31" xfId="0" applyFont="1" applyFill="1" applyBorder="1" applyAlignment="1">
      <alignment vertical="center" wrapText="1"/>
    </xf>
    <xf numFmtId="0" fontId="113" fillId="17" borderId="37" xfId="0" applyFont="1" applyFill="1" applyBorder="1" applyAlignment="1">
      <alignment vertical="center" wrapText="1"/>
    </xf>
    <xf numFmtId="4" fontId="98" fillId="2" borderId="18" xfId="0" applyNumberFormat="1" applyFont="1" applyFill="1" applyBorder="1" applyAlignment="1">
      <alignment horizontal="right" vertical="center" wrapText="1"/>
    </xf>
    <xf numFmtId="0" fontId="0" fillId="0" borderId="0" xfId="0" applyAlignment="1">
      <alignment horizontal="left"/>
    </xf>
    <xf numFmtId="0" fontId="89" fillId="0" borderId="0" xfId="0" applyFont="1" applyAlignment="1">
      <alignment horizontal="right"/>
    </xf>
    <xf numFmtId="0" fontId="80" fillId="2" borderId="1" xfId="0" applyFont="1" applyFill="1" applyBorder="1" applyAlignment="1">
      <alignment horizontal="left" vertical="center" wrapText="1"/>
    </xf>
    <xf numFmtId="0" fontId="92" fillId="0" borderId="1" xfId="5" applyFont="1" applyBorder="1" applyAlignment="1">
      <alignment horizontal="left" vertical="center" wrapText="1"/>
    </xf>
    <xf numFmtId="4" fontId="98" fillId="0" borderId="22" xfId="0" applyNumberFormat="1" applyFont="1" applyFill="1" applyBorder="1" applyAlignment="1">
      <alignment vertical="center"/>
    </xf>
    <xf numFmtId="4" fontId="98" fillId="0" borderId="2" xfId="0" applyNumberFormat="1" applyFont="1" applyFill="1" applyBorder="1" applyAlignment="1">
      <alignment vertical="center"/>
    </xf>
    <xf numFmtId="0" fontId="113" fillId="5" borderId="7" xfId="0" applyFont="1" applyFill="1" applyBorder="1" applyAlignment="1">
      <alignment horizontal="left" vertical="center" wrapText="1"/>
    </xf>
    <xf numFmtId="0" fontId="114" fillId="5" borderId="8" xfId="0" applyFont="1" applyFill="1" applyBorder="1" applyAlignment="1">
      <alignment horizontal="center" vertical="center" wrapText="1"/>
    </xf>
    <xf numFmtId="0" fontId="114" fillId="5" borderId="9" xfId="0" applyFont="1" applyFill="1" applyBorder="1" applyAlignment="1">
      <alignment horizontal="center" vertical="center" wrapText="1"/>
    </xf>
    <xf numFmtId="0" fontId="114" fillId="5" borderId="11" xfId="0" applyFont="1" applyFill="1" applyBorder="1" applyAlignment="1">
      <alignment horizontal="center" vertical="center" wrapText="1"/>
    </xf>
    <xf numFmtId="0" fontId="113" fillId="5" borderId="31" xfId="0" applyFont="1" applyFill="1" applyBorder="1" applyAlignment="1">
      <alignment horizontal="left" vertical="center" wrapText="1"/>
    </xf>
    <xf numFmtId="4" fontId="99" fillId="0" borderId="5" xfId="0" applyNumberFormat="1" applyFont="1" applyBorder="1" applyAlignment="1">
      <alignment vertical="center"/>
    </xf>
    <xf numFmtId="0" fontId="102" fillId="0" borderId="27" xfId="0" applyFont="1" applyFill="1" applyBorder="1" applyAlignment="1">
      <alignment horizontal="right" vertical="center" wrapText="1"/>
    </xf>
    <xf numFmtId="0" fontId="98" fillId="0" borderId="27" xfId="0" applyFont="1" applyFill="1" applyBorder="1" applyAlignment="1">
      <alignment horizontal="center" vertical="center"/>
    </xf>
    <xf numFmtId="0" fontId="99" fillId="0" borderId="27" xfId="0" applyFont="1" applyFill="1" applyBorder="1" applyAlignment="1">
      <alignment horizontal="center" vertical="center"/>
    </xf>
    <xf numFmtId="0" fontId="99" fillId="0" borderId="46" xfId="0" applyFont="1" applyFill="1" applyBorder="1" applyAlignment="1">
      <alignment horizontal="center" vertical="center"/>
    </xf>
    <xf numFmtId="10" fontId="88" fillId="5" borderId="45" xfId="0" applyNumberFormat="1" applyFont="1" applyFill="1" applyBorder="1" applyAlignment="1">
      <alignment horizontal="center" vertical="center"/>
    </xf>
    <xf numFmtId="0" fontId="80" fillId="0" borderId="15" xfId="0" applyFont="1" applyBorder="1" applyAlignment="1">
      <alignment horizontal="center" vertical="center"/>
    </xf>
    <xf numFmtId="0" fontId="80" fillId="0" borderId="17" xfId="0" applyFont="1" applyBorder="1" applyAlignment="1">
      <alignment horizontal="center" vertical="center"/>
    </xf>
    <xf numFmtId="4" fontId="0" fillId="0" borderId="0" xfId="0" applyNumberFormat="1" applyAlignment="1">
      <alignment horizontal="center" vertical="center"/>
    </xf>
    <xf numFmtId="0" fontId="79" fillId="0" borderId="1" xfId="8" applyFont="1" applyFill="1" applyBorder="1" applyAlignment="1">
      <alignment horizontal="left" vertical="center" wrapText="1"/>
    </xf>
    <xf numFmtId="0" fontId="79" fillId="2" borderId="2" xfId="0" applyFont="1" applyFill="1" applyBorder="1" applyAlignment="1">
      <alignment horizontal="left" vertical="center" wrapText="1"/>
    </xf>
    <xf numFmtId="4" fontId="99" fillId="2" borderId="12" xfId="0" applyNumberFormat="1" applyFont="1" applyFill="1" applyBorder="1" applyAlignment="1">
      <alignment horizontal="right" vertical="center"/>
    </xf>
    <xf numFmtId="0" fontId="116" fillId="0" borderId="0" xfId="0" applyFont="1"/>
    <xf numFmtId="0" fontId="120" fillId="18" borderId="4" xfId="0" applyFont="1" applyFill="1" applyBorder="1" applyAlignment="1">
      <alignment horizontal="left" vertical="center" wrapText="1"/>
    </xf>
    <xf numFmtId="0" fontId="120" fillId="18" borderId="6" xfId="0" applyFont="1" applyFill="1" applyBorder="1" applyAlignment="1">
      <alignment horizontal="left" vertical="center" wrapText="1"/>
    </xf>
    <xf numFmtId="0" fontId="121" fillId="18" borderId="24" xfId="0" applyFont="1" applyFill="1" applyBorder="1" applyAlignment="1">
      <alignment horizontal="center" vertical="center" wrapText="1"/>
    </xf>
    <xf numFmtId="0" fontId="121" fillId="18" borderId="1" xfId="0" applyFont="1" applyFill="1" applyBorder="1" applyAlignment="1">
      <alignment horizontal="center" vertical="center" wrapText="1"/>
    </xf>
    <xf numFmtId="0" fontId="121" fillId="18" borderId="2" xfId="0" applyFont="1" applyFill="1" applyBorder="1" applyAlignment="1">
      <alignment horizontal="center" vertical="center" wrapText="1"/>
    </xf>
    <xf numFmtId="0" fontId="121" fillId="18" borderId="15" xfId="0" applyFont="1" applyFill="1" applyBorder="1" applyAlignment="1">
      <alignment horizontal="center" vertical="center" wrapText="1"/>
    </xf>
    <xf numFmtId="4" fontId="116" fillId="17" borderId="24" xfId="0" applyNumberFormat="1" applyFont="1" applyFill="1" applyBorder="1" applyAlignment="1">
      <alignment horizontal="right" vertical="center" wrapText="1"/>
    </xf>
    <xf numFmtId="4" fontId="116" fillId="17" borderId="24" xfId="0" applyNumberFormat="1" applyFont="1" applyFill="1" applyBorder="1" applyAlignment="1">
      <alignment horizontal="right" vertical="center"/>
    </xf>
    <xf numFmtId="4" fontId="116" fillId="17" borderId="12" xfId="0" applyNumberFormat="1" applyFont="1" applyFill="1" applyBorder="1" applyAlignment="1">
      <alignment horizontal="right" vertical="center"/>
    </xf>
    <xf numFmtId="4" fontId="107" fillId="17" borderId="1" xfId="0" applyNumberFormat="1" applyFont="1" applyFill="1" applyBorder="1" applyAlignment="1">
      <alignment horizontal="right" vertical="center"/>
    </xf>
    <xf numFmtId="4" fontId="107" fillId="17" borderId="2" xfId="0" applyNumberFormat="1" applyFont="1" applyFill="1" applyBorder="1" applyAlignment="1">
      <alignment horizontal="right" vertical="center"/>
    </xf>
    <xf numFmtId="10" fontId="116" fillId="17" borderId="15" xfId="0" applyNumberFormat="1" applyFont="1" applyFill="1" applyBorder="1" applyAlignment="1">
      <alignment horizontal="center" vertical="center"/>
    </xf>
    <xf numFmtId="4" fontId="116" fillId="5" borderId="22" xfId="0" applyNumberFormat="1" applyFont="1" applyFill="1" applyBorder="1" applyAlignment="1">
      <alignment horizontal="right" vertical="center" wrapText="1"/>
    </xf>
    <xf numFmtId="4" fontId="116" fillId="5" borderId="22" xfId="0" applyNumberFormat="1" applyFont="1" applyFill="1" applyBorder="1" applyAlignment="1">
      <alignment horizontal="right" vertical="center"/>
    </xf>
    <xf numFmtId="4" fontId="116" fillId="5" borderId="5" xfId="0" applyNumberFormat="1" applyFont="1" applyFill="1" applyBorder="1" applyAlignment="1">
      <alignment horizontal="right" vertical="center"/>
    </xf>
    <xf numFmtId="4" fontId="107" fillId="5" borderId="1" xfId="0" applyNumberFormat="1" applyFont="1" applyFill="1" applyBorder="1" applyAlignment="1">
      <alignment horizontal="right" vertical="center"/>
    </xf>
    <xf numFmtId="4" fontId="107" fillId="5" borderId="2" xfId="0" applyNumberFormat="1" applyFont="1" applyFill="1" applyBorder="1" applyAlignment="1">
      <alignment horizontal="right" vertical="center"/>
    </xf>
    <xf numFmtId="10" fontId="116" fillId="5" borderId="17" xfId="0" applyNumberFormat="1" applyFont="1" applyFill="1" applyBorder="1" applyAlignment="1">
      <alignment horizontal="center" vertical="center"/>
    </xf>
    <xf numFmtId="10" fontId="116" fillId="5" borderId="15" xfId="0" applyNumberFormat="1" applyFont="1" applyFill="1" applyBorder="1" applyAlignment="1">
      <alignment horizontal="center" vertical="center"/>
    </xf>
    <xf numFmtId="0" fontId="107" fillId="0" borderId="23" xfId="0" applyFont="1" applyBorder="1" applyAlignment="1">
      <alignment horizontal="center" vertical="center" wrapText="1"/>
    </xf>
    <xf numFmtId="4" fontId="116" fillId="0" borderId="23" xfId="0" applyNumberFormat="1" applyFont="1" applyBorder="1" applyAlignment="1">
      <alignment horizontal="right" vertical="center"/>
    </xf>
    <xf numFmtId="4" fontId="116" fillId="0" borderId="11" xfId="0" applyNumberFormat="1" applyFont="1" applyBorder="1" applyAlignment="1">
      <alignment horizontal="right" vertical="center"/>
    </xf>
    <xf numFmtId="4" fontId="107" fillId="0" borderId="8" xfId="0" applyNumberFormat="1" applyFont="1" applyBorder="1" applyAlignment="1">
      <alignment horizontal="right" vertical="center"/>
    </xf>
    <xf numFmtId="4" fontId="107" fillId="0" borderId="9" xfId="0" applyNumberFormat="1" applyFont="1" applyBorder="1" applyAlignment="1">
      <alignment horizontal="right" vertical="center"/>
    </xf>
    <xf numFmtId="10" fontId="116" fillId="0" borderId="19" xfId="0" applyNumberFormat="1" applyFont="1" applyBorder="1" applyAlignment="1">
      <alignment horizontal="center" vertical="center"/>
    </xf>
    <xf numFmtId="10" fontId="107" fillId="0" borderId="19" xfId="0" applyNumberFormat="1" applyFont="1" applyFill="1" applyBorder="1" applyAlignment="1">
      <alignment horizontal="center" vertical="center"/>
    </xf>
    <xf numFmtId="4" fontId="116" fillId="18" borderId="32" xfId="0" applyNumberFormat="1" applyFont="1" applyFill="1" applyBorder="1" applyAlignment="1">
      <alignment horizontal="right" vertical="center"/>
    </xf>
    <xf numFmtId="4" fontId="107" fillId="18" borderId="36" xfId="0" applyNumberFormat="1" applyFont="1" applyFill="1" applyBorder="1" applyAlignment="1">
      <alignment horizontal="right" vertical="center"/>
    </xf>
    <xf numFmtId="4" fontId="107" fillId="18" borderId="25" xfId="0" applyNumberFormat="1" applyFont="1" applyFill="1" applyBorder="1" applyAlignment="1">
      <alignment horizontal="right" vertical="center"/>
    </xf>
    <xf numFmtId="10" fontId="116" fillId="18" borderId="29" xfId="0" applyNumberFormat="1" applyFont="1" applyFill="1" applyBorder="1" applyAlignment="1">
      <alignment horizontal="center" vertical="center"/>
    </xf>
    <xf numFmtId="10" fontId="116" fillId="18" borderId="15" xfId="0" applyNumberFormat="1" applyFont="1" applyFill="1" applyBorder="1" applyAlignment="1">
      <alignment horizontal="center" vertical="center"/>
    </xf>
    <xf numFmtId="0" fontId="116" fillId="0" borderId="2" xfId="0" applyFont="1" applyFill="1" applyBorder="1" applyAlignment="1">
      <alignment horizontal="right" vertical="center" wrapText="1"/>
    </xf>
    <xf numFmtId="4" fontId="122" fillId="0" borderId="2" xfId="0" applyNumberFormat="1" applyFont="1" applyFill="1" applyBorder="1" applyAlignment="1">
      <alignment horizontal="right" vertical="center"/>
    </xf>
    <xf numFmtId="0" fontId="116" fillId="0" borderId="2" xfId="0" applyFont="1" applyFill="1" applyBorder="1" applyAlignment="1">
      <alignment horizontal="left" vertical="center" wrapText="1"/>
    </xf>
    <xf numFmtId="4" fontId="123" fillId="0" borderId="30" xfId="0" applyNumberFormat="1" applyFont="1" applyFill="1" applyBorder="1" applyAlignment="1">
      <alignment vertical="center"/>
    </xf>
    <xf numFmtId="4" fontId="123" fillId="0" borderId="5" xfId="0" applyNumberFormat="1" applyFont="1" applyFill="1" applyBorder="1" applyAlignment="1">
      <alignment vertical="center"/>
    </xf>
    <xf numFmtId="4" fontId="123" fillId="0" borderId="2" xfId="0" applyNumberFormat="1" applyFont="1" applyFill="1" applyBorder="1" applyAlignment="1">
      <alignment horizontal="right" vertical="center"/>
    </xf>
    <xf numFmtId="4" fontId="124" fillId="0" borderId="2" xfId="0" applyNumberFormat="1" applyFont="1" applyFill="1" applyBorder="1" applyAlignment="1">
      <alignment horizontal="right" vertical="center"/>
    </xf>
    <xf numFmtId="4" fontId="116" fillId="0" borderId="2" xfId="0" applyNumberFormat="1" applyFont="1" applyFill="1" applyBorder="1" applyAlignment="1">
      <alignment horizontal="right" vertical="center"/>
    </xf>
    <xf numFmtId="0" fontId="107" fillId="0" borderId="1" xfId="0" applyFont="1" applyBorder="1" applyAlignment="1">
      <alignment horizontal="center" vertical="top"/>
    </xf>
    <xf numFmtId="0" fontId="107" fillId="0" borderId="1" xfId="0" applyFont="1" applyFill="1" applyBorder="1" applyAlignment="1">
      <alignment horizontal="center" vertical="top"/>
    </xf>
    <xf numFmtId="0" fontId="125" fillId="0" borderId="0" xfId="0" applyFont="1" applyFill="1" applyBorder="1" applyAlignment="1">
      <alignment vertical="center"/>
    </xf>
    <xf numFmtId="0" fontId="127" fillId="0" borderId="0" xfId="0" applyFont="1"/>
    <xf numFmtId="0" fontId="128" fillId="0" borderId="0" xfId="0" applyFont="1" applyFill="1" applyBorder="1" applyAlignment="1">
      <alignment horizontal="left" vertical="center" wrapText="1"/>
    </xf>
    <xf numFmtId="4" fontId="128" fillId="0" borderId="0" xfId="0" applyNumberFormat="1" applyFont="1" applyFill="1" applyBorder="1" applyAlignment="1">
      <alignment horizontal="right" vertical="center"/>
    </xf>
    <xf numFmtId="4" fontId="127" fillId="0" borderId="0" xfId="0" applyNumberFormat="1" applyFont="1" applyFill="1" applyBorder="1" applyAlignment="1">
      <alignment horizontal="right" vertical="center"/>
    </xf>
    <xf numFmtId="10" fontId="128" fillId="0" borderId="0" xfId="0" applyNumberFormat="1" applyFont="1" applyFill="1" applyBorder="1" applyAlignment="1">
      <alignment horizontal="center" vertical="center"/>
    </xf>
    <xf numFmtId="0" fontId="127" fillId="0" borderId="0" xfId="0" applyFont="1" applyFill="1" applyBorder="1" applyAlignment="1">
      <alignment horizontal="right"/>
    </xf>
    <xf numFmtId="0" fontId="127" fillId="0" borderId="0" xfId="0" applyFont="1" applyAlignment="1">
      <alignment horizontal="right"/>
    </xf>
    <xf numFmtId="0" fontId="78" fillId="2" borderId="2" xfId="0" applyFont="1" applyFill="1" applyBorder="1" applyAlignment="1">
      <alignment horizontal="left" vertical="center" wrapText="1"/>
    </xf>
    <xf numFmtId="0" fontId="98" fillId="0" borderId="46" xfId="0" applyFont="1" applyFill="1" applyBorder="1" applyAlignment="1">
      <alignment horizontal="center" vertical="center"/>
    </xf>
    <xf numFmtId="0" fontId="98" fillId="0" borderId="39" xfId="0" applyFont="1" applyBorder="1" applyAlignment="1">
      <alignment horizontal="center" vertical="center"/>
    </xf>
    <xf numFmtId="0" fontId="88" fillId="0" borderId="30" xfId="0" applyFont="1" applyBorder="1" applyAlignment="1">
      <alignment horizontal="right" vertical="center" wrapText="1"/>
    </xf>
    <xf numFmtId="0" fontId="81" fillId="0" borderId="1" xfId="0" applyFont="1" applyFill="1" applyBorder="1" applyAlignment="1">
      <alignment horizontal="center" vertical="center" wrapText="1"/>
    </xf>
    <xf numFmtId="0" fontId="98" fillId="0" borderId="1" xfId="0" applyFont="1" applyFill="1" applyBorder="1" applyAlignment="1">
      <alignment horizontal="center" vertical="center" wrapText="1"/>
    </xf>
    <xf numFmtId="0" fontId="102" fillId="0" borderId="44" xfId="0" applyFont="1" applyFill="1" applyBorder="1" applyAlignment="1">
      <alignment horizontal="right" vertical="center" wrapText="1"/>
    </xf>
    <xf numFmtId="4" fontId="129" fillId="0" borderId="2" xfId="0" applyNumberFormat="1" applyFont="1" applyBorder="1" applyAlignment="1">
      <alignment horizontal="right" vertical="center"/>
    </xf>
    <xf numFmtId="10" fontId="81" fillId="0" borderId="24" xfId="0" applyNumberFormat="1" applyFont="1" applyBorder="1" applyAlignment="1">
      <alignment horizontal="center" vertical="center"/>
    </xf>
    <xf numFmtId="4" fontId="81" fillId="2" borderId="22" xfId="0" applyNumberFormat="1" applyFont="1" applyFill="1" applyBorder="1" applyAlignment="1">
      <alignment horizontal="right" vertical="center"/>
    </xf>
    <xf numFmtId="0" fontId="98" fillId="0" borderId="1" xfId="5" applyFont="1" applyFill="1" applyBorder="1" applyAlignment="1">
      <alignment horizontal="left" vertical="center" wrapText="1"/>
    </xf>
    <xf numFmtId="4" fontId="81" fillId="2" borderId="32" xfId="0" applyNumberFormat="1" applyFont="1" applyFill="1" applyBorder="1" applyAlignment="1">
      <alignment vertical="center"/>
    </xf>
    <xf numFmtId="4" fontId="81" fillId="0" borderId="48" xfId="0" applyNumberFormat="1" applyFont="1" applyBorder="1" applyAlignment="1">
      <alignment vertical="center"/>
    </xf>
    <xf numFmtId="4" fontId="112" fillId="2" borderId="5" xfId="0" applyNumberFormat="1" applyFont="1" applyFill="1" applyBorder="1" applyAlignment="1">
      <alignment horizontal="right" vertical="center" wrapText="1"/>
    </xf>
    <xf numFmtId="0" fontId="98" fillId="0" borderId="5" xfId="0" applyFont="1" applyBorder="1" applyAlignment="1">
      <alignment vertical="center" wrapText="1"/>
    </xf>
    <xf numFmtId="0" fontId="76" fillId="2" borderId="1" xfId="0" applyFont="1" applyFill="1" applyBorder="1" applyAlignment="1">
      <alignment horizontal="left" vertical="center" wrapText="1"/>
    </xf>
    <xf numFmtId="0" fontId="81" fillId="0" borderId="4" xfId="0" applyFont="1" applyFill="1" applyBorder="1" applyAlignment="1">
      <alignment horizontal="center" vertical="center" wrapText="1"/>
    </xf>
    <xf numFmtId="10" fontId="81"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4" fontId="92" fillId="0" borderId="1" xfId="0" applyNumberFormat="1" applyFont="1" applyFill="1" applyBorder="1" applyAlignment="1">
      <alignment horizontal="right" vertical="center"/>
    </xf>
    <xf numFmtId="0" fontId="81" fillId="0" borderId="4" xfId="0" applyFont="1" applyFill="1" applyBorder="1" applyAlignment="1">
      <alignment vertical="center" wrapText="1"/>
    </xf>
    <xf numFmtId="2" fontId="99" fillId="2" borderId="12" xfId="0" applyNumberFormat="1" applyFont="1" applyFill="1" applyBorder="1" applyAlignment="1">
      <alignment horizontal="right" vertical="center"/>
    </xf>
    <xf numFmtId="4" fontId="81" fillId="2" borderId="6" xfId="0" applyNumberFormat="1" applyFont="1" applyFill="1" applyBorder="1" applyAlignment="1">
      <alignment horizontal="right" vertical="center"/>
    </xf>
    <xf numFmtId="10" fontId="81" fillId="0" borderId="22" xfId="0" applyNumberFormat="1" applyFont="1" applyBorder="1" applyAlignment="1">
      <alignment horizontal="center" vertical="center"/>
    </xf>
    <xf numFmtId="0" fontId="110" fillId="0" borderId="1" xfId="9" applyFont="1" applyBorder="1" applyAlignment="1">
      <alignment horizontal="left" vertical="center" wrapText="1"/>
    </xf>
    <xf numFmtId="4" fontId="98" fillId="0" borderId="6" xfId="0" applyNumberFormat="1" applyFont="1" applyBorder="1" applyAlignment="1">
      <alignment horizontal="right" vertical="center" wrapText="1"/>
    </xf>
    <xf numFmtId="4" fontId="88" fillId="17" borderId="51" xfId="0" applyNumberFormat="1" applyFont="1" applyFill="1" applyBorder="1" applyAlignment="1">
      <alignment horizontal="right" vertical="center"/>
    </xf>
    <xf numFmtId="0" fontId="75" fillId="2" borderId="4" xfId="0" applyFont="1" applyFill="1" applyBorder="1" applyAlignment="1">
      <alignment horizontal="left" vertical="center" wrapText="1"/>
    </xf>
    <xf numFmtId="4" fontId="98" fillId="0" borderId="24" xfId="0" applyNumberFormat="1" applyFont="1" applyFill="1" applyBorder="1" applyAlignment="1">
      <alignment horizontal="right" vertical="center" wrapText="1"/>
    </xf>
    <xf numFmtId="4" fontId="81" fillId="0" borderId="24" xfId="0" applyNumberFormat="1" applyFont="1" applyFill="1" applyBorder="1" applyAlignment="1">
      <alignment horizontal="right" vertical="center"/>
    </xf>
    <xf numFmtId="0" fontId="98" fillId="0" borderId="5" xfId="0" applyFont="1" applyFill="1" applyBorder="1" applyAlignment="1">
      <alignment vertical="center" wrapText="1"/>
    </xf>
    <xf numFmtId="4" fontId="98" fillId="0" borderId="22" xfId="0" applyNumberFormat="1" applyFont="1" applyFill="1" applyBorder="1" applyAlignment="1">
      <alignment horizontal="right" vertical="center"/>
    </xf>
    <xf numFmtId="0" fontId="98" fillId="0" borderId="12" xfId="0" applyFont="1" applyBorder="1" applyAlignment="1">
      <alignment vertical="center" wrapText="1"/>
    </xf>
    <xf numFmtId="4" fontId="98" fillId="0" borderId="22" xfId="0" applyNumberFormat="1" applyFont="1" applyFill="1" applyBorder="1" applyAlignment="1">
      <alignment horizontal="right" vertical="center" wrapText="1"/>
    </xf>
    <xf numFmtId="10" fontId="81" fillId="0" borderId="33" xfId="0" applyNumberFormat="1" applyFont="1" applyBorder="1" applyAlignment="1">
      <alignment horizontal="center" vertical="center"/>
    </xf>
    <xf numFmtId="4" fontId="98" fillId="0" borderId="33" xfId="0" applyNumberFormat="1" applyFont="1" applyFill="1" applyBorder="1" applyAlignment="1">
      <alignment horizontal="right" vertical="center" wrapText="1"/>
    </xf>
    <xf numFmtId="4" fontId="99" fillId="2" borderId="30" xfId="0" applyNumberFormat="1" applyFont="1" applyFill="1" applyBorder="1" applyAlignment="1">
      <alignment horizontal="right" vertical="center"/>
    </xf>
    <xf numFmtId="4" fontId="0" fillId="0" borderId="0" xfId="0" applyNumberFormat="1" applyFill="1"/>
    <xf numFmtId="10" fontId="81"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0" fontId="81" fillId="0" borderId="1" xfId="0" applyFont="1" applyFill="1" applyBorder="1" applyAlignment="1">
      <alignment horizontal="left" vertical="center" wrapText="1"/>
    </xf>
    <xf numFmtId="0" fontId="73" fillId="2" borderId="1" xfId="0" applyFont="1" applyFill="1" applyBorder="1" applyAlignment="1">
      <alignment horizontal="left" vertical="center" wrapText="1"/>
    </xf>
    <xf numFmtId="0" fontId="72" fillId="2" borderId="6" xfId="0" applyFont="1" applyFill="1" applyBorder="1" applyAlignment="1">
      <alignment horizontal="left" vertical="center" wrapText="1"/>
    </xf>
    <xf numFmtId="0" fontId="72" fillId="2" borderId="10" xfId="0" applyFont="1" applyFill="1" applyBorder="1" applyAlignment="1">
      <alignment horizontal="left" vertical="center" wrapText="1"/>
    </xf>
    <xf numFmtId="4" fontId="98" fillId="0" borderId="1" xfId="0" applyNumberFormat="1" applyFont="1" applyFill="1" applyBorder="1" applyAlignment="1">
      <alignment horizontal="right" vertical="center"/>
    </xf>
    <xf numFmtId="0" fontId="72" fillId="0" borderId="2" xfId="0" applyFont="1" applyFill="1" applyBorder="1" applyAlignment="1">
      <alignment horizontal="left" vertical="center" wrapText="1"/>
    </xf>
    <xf numFmtId="10" fontId="81"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0" fontId="98" fillId="0" borderId="31" xfId="0" applyFont="1" applyBorder="1" applyAlignment="1">
      <alignment vertical="center" wrapText="1"/>
    </xf>
    <xf numFmtId="0" fontId="71" fillId="2" borderId="7" xfId="0" applyFont="1" applyFill="1" applyBorder="1" applyAlignment="1">
      <alignment horizontal="left" vertical="center" wrapText="1"/>
    </xf>
    <xf numFmtId="0" fontId="98" fillId="0" borderId="1" xfId="0" applyFont="1" applyBorder="1" applyAlignment="1">
      <alignment horizontal="left" vertical="center" wrapText="1"/>
    </xf>
    <xf numFmtId="0" fontId="69" fillId="2" borderId="2" xfId="0" applyFont="1" applyFill="1" applyBorder="1" applyAlignment="1">
      <alignment horizontal="left" vertical="center" wrapText="1"/>
    </xf>
    <xf numFmtId="0" fontId="98" fillId="2" borderId="1" xfId="8" applyFont="1" applyFill="1" applyBorder="1" applyAlignment="1">
      <alignment horizontal="left" vertical="center" wrapText="1"/>
    </xf>
    <xf numFmtId="0" fontId="92" fillId="0" borderId="2" xfId="9" applyFont="1" applyBorder="1" applyAlignment="1">
      <alignment vertical="center" wrapText="1"/>
    </xf>
    <xf numFmtId="10" fontId="81"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0" fontId="68" fillId="0" borderId="7" xfId="0" applyFont="1" applyFill="1" applyBorder="1" applyAlignment="1">
      <alignment horizontal="left" vertical="center" wrapText="1"/>
    </xf>
    <xf numFmtId="0" fontId="81" fillId="0" borderId="1" xfId="0" applyFont="1" applyFill="1" applyBorder="1" applyAlignment="1">
      <alignment horizontal="left" vertical="center" wrapText="1"/>
    </xf>
    <xf numFmtId="10" fontId="81" fillId="0" borderId="24" xfId="0" applyNumberFormat="1" applyFont="1" applyBorder="1" applyAlignment="1">
      <alignment horizontal="center" vertical="center"/>
    </xf>
    <xf numFmtId="4" fontId="81" fillId="2" borderId="22" xfId="0" applyNumberFormat="1" applyFont="1" applyFill="1" applyBorder="1" applyAlignment="1">
      <alignment horizontal="right" vertical="center"/>
    </xf>
    <xf numFmtId="0" fontId="121" fillId="20" borderId="24" xfId="0" applyFont="1" applyFill="1" applyBorder="1" applyAlignment="1">
      <alignment horizontal="center" vertical="center" wrapText="1"/>
    </xf>
    <xf numFmtId="4" fontId="116" fillId="20" borderId="32" xfId="0" applyNumberFormat="1" applyFont="1" applyFill="1" applyBorder="1" applyAlignment="1">
      <alignment horizontal="right" vertical="center"/>
    </xf>
    <xf numFmtId="0" fontId="120" fillId="19" borderId="12" xfId="0" applyFont="1" applyFill="1" applyBorder="1" applyAlignment="1">
      <alignment horizontal="left" vertical="center" wrapText="1"/>
    </xf>
    <xf numFmtId="0" fontId="121" fillId="19" borderId="12" xfId="0" applyFont="1" applyFill="1" applyBorder="1" applyAlignment="1">
      <alignment horizontal="center" vertical="center" wrapText="1"/>
    </xf>
    <xf numFmtId="4" fontId="116" fillId="19" borderId="26" xfId="0" applyNumberFormat="1" applyFont="1" applyFill="1" applyBorder="1" applyAlignment="1">
      <alignment horizontal="right" vertical="center"/>
    </xf>
    <xf numFmtId="10" fontId="0" fillId="0" borderId="1" xfId="0" applyNumberFormat="1" applyBorder="1" applyAlignment="1">
      <alignment vertical="center"/>
    </xf>
    <xf numFmtId="0" fontId="113" fillId="5" borderId="20" xfId="0" applyFont="1" applyFill="1" applyBorder="1" applyAlignment="1">
      <alignment horizontal="left" vertical="center" wrapText="1"/>
    </xf>
    <xf numFmtId="10" fontId="0" fillId="0" borderId="4" xfId="0" applyNumberFormat="1" applyBorder="1" applyAlignment="1">
      <alignment vertical="center"/>
    </xf>
    <xf numFmtId="0" fontId="114" fillId="5" borderId="19" xfId="0" applyFont="1" applyFill="1" applyBorder="1" applyAlignment="1">
      <alignment horizontal="center" vertical="center" wrapText="1"/>
    </xf>
    <xf numFmtId="4" fontId="88" fillId="5" borderId="45" xfId="0" applyNumberFormat="1" applyFont="1" applyFill="1" applyBorder="1" applyAlignment="1">
      <alignment horizontal="center" vertical="center"/>
    </xf>
    <xf numFmtId="0" fontId="114" fillId="17" borderId="19" xfId="0" applyFont="1" applyFill="1" applyBorder="1" applyAlignment="1">
      <alignment horizontal="center" vertical="center" wrapText="1"/>
    </xf>
    <xf numFmtId="0" fontId="114" fillId="17" borderId="14" xfId="0" applyFont="1" applyFill="1" applyBorder="1" applyAlignment="1">
      <alignment horizontal="center" vertical="center" wrapText="1"/>
    </xf>
    <xf numFmtId="10" fontId="81" fillId="0" borderId="24" xfId="0" applyNumberFormat="1" applyFont="1" applyBorder="1" applyAlignment="1">
      <alignment horizontal="center" vertical="center"/>
    </xf>
    <xf numFmtId="4" fontId="81" fillId="2" borderId="22" xfId="0" applyNumberFormat="1" applyFont="1" applyFill="1" applyBorder="1" applyAlignment="1">
      <alignment horizontal="right" vertical="center"/>
    </xf>
    <xf numFmtId="0" fontId="67" fillId="2" borderId="1" xfId="0" applyFont="1" applyFill="1" applyBorder="1" applyAlignment="1">
      <alignment horizontal="left" vertical="center" wrapText="1"/>
    </xf>
    <xf numFmtId="10" fontId="81" fillId="0" borderId="33" xfId="0" applyNumberFormat="1" applyFont="1" applyBorder="1" applyAlignment="1">
      <alignment horizontal="center" vertical="center"/>
    </xf>
    <xf numFmtId="0" fontId="75" fillId="2" borderId="3" xfId="0" applyFont="1" applyFill="1" applyBorder="1" applyAlignment="1">
      <alignment horizontal="left" vertical="center" wrapText="1"/>
    </xf>
    <xf numFmtId="4" fontId="111" fillId="2" borderId="5" xfId="0" applyNumberFormat="1" applyFont="1" applyFill="1" applyBorder="1" applyAlignment="1">
      <alignment horizontal="right" vertical="center"/>
    </xf>
    <xf numFmtId="4" fontId="81" fillId="0" borderId="39" xfId="0" applyNumberFormat="1" applyFont="1" applyFill="1" applyBorder="1" applyAlignment="1">
      <alignment horizontal="right" vertical="center"/>
    </xf>
    <xf numFmtId="4" fontId="98" fillId="0" borderId="39" xfId="0" applyNumberFormat="1" applyFont="1" applyFill="1" applyBorder="1" applyAlignment="1">
      <alignment horizontal="right" vertical="center" wrapText="1"/>
    </xf>
    <xf numFmtId="4" fontId="98" fillId="0" borderId="30" xfId="0" applyNumberFormat="1" applyFont="1" applyFill="1" applyBorder="1" applyAlignment="1">
      <alignment horizontal="right" vertical="center" wrapText="1"/>
    </xf>
    <xf numFmtId="0" fontId="66" fillId="2" borderId="18" xfId="0" applyFont="1" applyFill="1" applyBorder="1" applyAlignment="1">
      <alignment horizontal="left" vertical="center" wrapText="1"/>
    </xf>
    <xf numFmtId="4" fontId="112" fillId="0" borderId="17" xfId="0" applyNumberFormat="1" applyFont="1" applyFill="1" applyBorder="1" applyAlignment="1">
      <alignment horizontal="right" vertical="center" wrapText="1"/>
    </xf>
    <xf numFmtId="4" fontId="81" fillId="2" borderId="22" xfId="0" applyNumberFormat="1" applyFont="1" applyFill="1" applyBorder="1" applyAlignment="1">
      <alignment horizontal="right" vertical="center"/>
    </xf>
    <xf numFmtId="10" fontId="81" fillId="0" borderId="24" xfId="0" applyNumberFormat="1" applyFont="1" applyBorder="1" applyAlignment="1">
      <alignment horizontal="center" vertical="center"/>
    </xf>
    <xf numFmtId="0" fontId="65"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61" fillId="2" borderId="1"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4" fontId="112" fillId="2" borderId="17" xfId="0" applyNumberFormat="1" applyFont="1" applyFill="1" applyBorder="1" applyAlignment="1">
      <alignment horizontal="right" vertical="center"/>
    </xf>
    <xf numFmtId="4" fontId="112" fillId="0" borderId="5" xfId="0" applyNumberFormat="1" applyFont="1" applyFill="1" applyBorder="1" applyAlignment="1">
      <alignment horizontal="right" vertical="center" wrapText="1"/>
    </xf>
    <xf numFmtId="4" fontId="112" fillId="2" borderId="0" xfId="0" applyNumberFormat="1" applyFont="1" applyFill="1" applyBorder="1" applyAlignment="1">
      <alignment horizontal="right" vertical="center"/>
    </xf>
    <xf numFmtId="4" fontId="116" fillId="19" borderId="1" xfId="0" applyNumberFormat="1" applyFont="1" applyFill="1" applyBorder="1" applyAlignment="1">
      <alignment horizontal="right" vertical="center"/>
    </xf>
    <xf numFmtId="4" fontId="0" fillId="0" borderId="0" xfId="0" applyNumberFormat="1" applyBorder="1" applyAlignment="1">
      <alignment vertical="center"/>
    </xf>
    <xf numFmtId="10" fontId="81" fillId="0" borderId="24" xfId="0" applyNumberFormat="1" applyFont="1" applyBorder="1" applyAlignment="1">
      <alignment horizontal="center" vertical="center"/>
    </xf>
    <xf numFmtId="4" fontId="81" fillId="2" borderId="22" xfId="0" applyNumberFormat="1" applyFont="1" applyFill="1" applyBorder="1" applyAlignment="1">
      <alignment horizontal="right" vertical="center"/>
    </xf>
    <xf numFmtId="0" fontId="60" fillId="2" borderId="1" xfId="0" applyFont="1" applyFill="1" applyBorder="1" applyAlignment="1">
      <alignment horizontal="left" vertical="center" wrapText="1"/>
    </xf>
    <xf numFmtId="4" fontId="81" fillId="2" borderId="39" xfId="0" applyNumberFormat="1" applyFont="1" applyFill="1" applyBorder="1" applyAlignment="1">
      <alignment horizontal="right" vertical="center"/>
    </xf>
    <xf numFmtId="10" fontId="81" fillId="0" borderId="24" xfId="0" applyNumberFormat="1" applyFont="1" applyBorder="1" applyAlignment="1">
      <alignment horizontal="center" vertical="center"/>
    </xf>
    <xf numFmtId="0" fontId="58" fillId="2" borderId="4" xfId="0" applyFont="1" applyFill="1" applyBorder="1" applyAlignment="1">
      <alignment horizontal="left" vertical="center" wrapText="1"/>
    </xf>
    <xf numFmtId="0" fontId="58" fillId="0" borderId="6" xfId="0" applyFont="1" applyFill="1" applyBorder="1" applyAlignment="1">
      <alignment horizontal="left" vertical="center" wrapText="1"/>
    </xf>
    <xf numFmtId="4" fontId="81" fillId="2" borderId="22" xfId="0" applyNumberFormat="1" applyFont="1" applyFill="1" applyBorder="1" applyAlignment="1">
      <alignment horizontal="right" vertical="center"/>
    </xf>
    <xf numFmtId="0" fontId="88" fillId="5" borderId="57" xfId="0" applyFont="1" applyFill="1" applyBorder="1" applyAlignment="1">
      <alignment vertical="center" wrapText="1"/>
    </xf>
    <xf numFmtId="4" fontId="88" fillId="5" borderId="52" xfId="0" applyNumberFormat="1" applyFont="1" applyFill="1" applyBorder="1" applyAlignment="1">
      <alignment horizontal="right" vertical="center"/>
    </xf>
    <xf numFmtId="10" fontId="88" fillId="5" borderId="57" xfId="0" applyNumberFormat="1" applyFont="1" applyFill="1" applyBorder="1" applyAlignment="1">
      <alignment horizontal="center" vertical="center"/>
    </xf>
    <xf numFmtId="10" fontId="81" fillId="0" borderId="33" xfId="0" applyNumberFormat="1" applyFont="1" applyBorder="1" applyAlignment="1">
      <alignment horizontal="center" vertical="center"/>
    </xf>
    <xf numFmtId="0" fontId="62" fillId="2" borderId="40" xfId="0" applyFont="1" applyFill="1" applyBorder="1" applyAlignment="1">
      <alignment horizontal="left" vertical="center" wrapText="1"/>
    </xf>
    <xf numFmtId="4" fontId="81" fillId="0" borderId="34" xfId="0" applyNumberFormat="1" applyFont="1" applyFill="1" applyBorder="1" applyAlignment="1">
      <alignment horizontal="right" vertical="center"/>
    </xf>
    <xf numFmtId="4" fontId="81" fillId="2" borderId="10" xfId="0" applyNumberFormat="1" applyFont="1" applyFill="1" applyBorder="1" applyAlignment="1">
      <alignment horizontal="right" vertical="center"/>
    </xf>
    <xf numFmtId="0" fontId="0" fillId="0" borderId="1" xfId="0" applyBorder="1" applyAlignment="1">
      <alignment horizontal="center" vertical="center" wrapText="1"/>
    </xf>
    <xf numFmtId="4" fontId="81" fillId="2" borderId="1" xfId="0" applyNumberFormat="1" applyFont="1" applyFill="1" applyBorder="1" applyAlignment="1">
      <alignment horizontal="right" vertical="center"/>
    </xf>
    <xf numFmtId="10" fontId="81" fillId="0" borderId="1" xfId="0" applyNumberFormat="1" applyFont="1" applyBorder="1" applyAlignment="1">
      <alignment horizontal="center" vertical="center"/>
    </xf>
    <xf numFmtId="4" fontId="88" fillId="17" borderId="53" xfId="0" applyNumberFormat="1" applyFont="1" applyFill="1" applyBorder="1" applyAlignment="1">
      <alignment horizontal="right" vertical="center"/>
    </xf>
    <xf numFmtId="0" fontId="81" fillId="17" borderId="53" xfId="0" applyFont="1" applyFill="1" applyBorder="1" applyAlignment="1">
      <alignment horizontal="center" vertical="center"/>
    </xf>
    <xf numFmtId="0" fontId="81" fillId="17" borderId="57" xfId="0" applyFont="1" applyFill="1" applyBorder="1" applyAlignment="1">
      <alignment horizontal="center" vertical="center"/>
    </xf>
    <xf numFmtId="0" fontId="81" fillId="17" borderId="58" xfId="0" applyFont="1" applyFill="1" applyBorder="1" applyAlignment="1">
      <alignment horizontal="center" vertical="center"/>
    </xf>
    <xf numFmtId="0" fontId="0" fillId="2" borderId="27" xfId="0" applyFill="1" applyBorder="1" applyAlignment="1">
      <alignment horizontal="left" vertical="center" wrapText="1"/>
    </xf>
    <xf numFmtId="4" fontId="88" fillId="20" borderId="54" xfId="0" applyNumberFormat="1" applyFont="1" applyFill="1" applyBorder="1" applyAlignment="1">
      <alignment horizontal="center" vertical="center"/>
    </xf>
    <xf numFmtId="4" fontId="88" fillId="19" borderId="54" xfId="0" applyNumberFormat="1" applyFont="1" applyFill="1" applyBorder="1" applyAlignment="1">
      <alignment horizontal="center" vertical="center"/>
    </xf>
    <xf numFmtId="4" fontId="88" fillId="5" borderId="53" xfId="0" applyNumberFormat="1" applyFont="1" applyFill="1" applyBorder="1" applyAlignment="1">
      <alignment horizontal="center" vertical="center"/>
    </xf>
    <xf numFmtId="10" fontId="88" fillId="5" borderId="54" xfId="0" applyNumberFormat="1" applyFont="1" applyFill="1" applyBorder="1" applyAlignment="1">
      <alignment horizontal="center" vertical="center"/>
    </xf>
    <xf numFmtId="4" fontId="99" fillId="2" borderId="1" xfId="0" applyNumberFormat="1" applyFont="1" applyFill="1" applyBorder="1" applyAlignment="1">
      <alignment horizontal="right" vertical="center"/>
    </xf>
    <xf numFmtId="4" fontId="112" fillId="2" borderId="1" xfId="0" applyNumberFormat="1" applyFont="1" applyFill="1" applyBorder="1" applyAlignment="1">
      <alignment horizontal="right" vertical="center"/>
    </xf>
    <xf numFmtId="0" fontId="98" fillId="2" borderId="1" xfId="0" applyFont="1" applyFill="1" applyBorder="1" applyAlignment="1">
      <alignment vertical="center" wrapText="1"/>
    </xf>
    <xf numFmtId="0" fontId="54"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81" fillId="0" borderId="24" xfId="0" applyNumberFormat="1" applyFont="1" applyBorder="1" applyAlignment="1">
      <alignment horizontal="center" vertical="center"/>
    </xf>
    <xf numFmtId="0" fontId="98" fillId="0" borderId="41" xfId="9" applyFont="1" applyBorder="1" applyAlignment="1">
      <alignment horizontal="left" vertical="center" wrapText="1"/>
    </xf>
    <xf numFmtId="0" fontId="53" fillId="2" borderId="2" xfId="0" applyFont="1" applyFill="1" applyBorder="1" applyAlignment="1">
      <alignment horizontal="left" vertical="center" wrapText="1"/>
    </xf>
    <xf numFmtId="0" fontId="52" fillId="2" borderId="1" xfId="0" applyFont="1" applyFill="1" applyBorder="1" applyAlignment="1">
      <alignment horizontal="left" vertical="center" wrapText="1"/>
    </xf>
    <xf numFmtId="0" fontId="52" fillId="0" borderId="6" xfId="0" applyFont="1" applyFill="1" applyBorder="1" applyAlignment="1">
      <alignment horizontal="left" vertical="center" wrapText="1"/>
    </xf>
    <xf numFmtId="4" fontId="81"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92" fillId="0" borderId="1" xfId="0" applyNumberFormat="1" applyFont="1" applyFill="1" applyBorder="1" applyAlignment="1">
      <alignment horizontal="right" vertical="center" wrapText="1"/>
    </xf>
    <xf numFmtId="0" fontId="50" fillId="0" borderId="5" xfId="0" applyFont="1" applyBorder="1" applyAlignment="1">
      <alignment vertical="center" wrapText="1"/>
    </xf>
    <xf numFmtId="4" fontId="88" fillId="20" borderId="54" xfId="0" applyNumberFormat="1" applyFont="1" applyFill="1" applyBorder="1" applyAlignment="1">
      <alignment horizontal="right" vertical="center"/>
    </xf>
    <xf numFmtId="4" fontId="88" fillId="19" borderId="54" xfId="0" applyNumberFormat="1" applyFont="1" applyFill="1" applyBorder="1" applyAlignment="1">
      <alignment horizontal="right" vertical="center"/>
    </xf>
    <xf numFmtId="4" fontId="88" fillId="17" borderId="61" xfId="0" applyNumberFormat="1" applyFont="1" applyFill="1" applyBorder="1" applyAlignment="1">
      <alignment horizontal="right" vertical="center"/>
    </xf>
    <xf numFmtId="4" fontId="88" fillId="17" borderId="62" xfId="0" applyNumberFormat="1" applyFont="1" applyFill="1" applyBorder="1" applyAlignment="1">
      <alignment horizontal="right" vertical="center"/>
    </xf>
    <xf numFmtId="10" fontId="104" fillId="17" borderId="54" xfId="0" applyNumberFormat="1" applyFont="1" applyFill="1" applyBorder="1" applyAlignment="1">
      <alignment horizontal="center" vertical="center" wrapText="1"/>
    </xf>
    <xf numFmtId="0" fontId="54" fillId="0" borderId="1" xfId="0" applyFont="1" applyBorder="1" applyAlignment="1">
      <alignment horizontal="left" vertical="center" wrapText="1"/>
    </xf>
    <xf numFmtId="164" fontId="57" fillId="2" borderId="1" xfId="0" applyNumberFormat="1" applyFont="1" applyFill="1" applyBorder="1" applyAlignment="1">
      <alignment vertical="center" wrapText="1"/>
    </xf>
    <xf numFmtId="4" fontId="81" fillId="0" borderId="1" xfId="0" applyNumberFormat="1" applyFont="1" applyFill="1" applyBorder="1" applyAlignment="1">
      <alignment horizontal="right" vertical="center"/>
    </xf>
    <xf numFmtId="4" fontId="81" fillId="0" borderId="20" xfId="0" applyNumberFormat="1" applyFont="1" applyFill="1" applyBorder="1" applyAlignment="1">
      <alignment horizontal="righ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0" fontId="81" fillId="0" borderId="24" xfId="0" applyNumberFormat="1" applyFont="1" applyBorder="1" applyAlignment="1">
      <alignment horizontal="center" vertical="center"/>
    </xf>
    <xf numFmtId="10" fontId="81" fillId="0" borderId="3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57" fillId="2" borderId="20" xfId="0" applyNumberFormat="1" applyFont="1" applyFill="1" applyBorder="1" applyAlignment="1">
      <alignment vertical="center" wrapText="1"/>
    </xf>
    <xf numFmtId="0" fontId="55" fillId="2" borderId="20" xfId="0" applyFont="1" applyFill="1" applyBorder="1" applyAlignment="1">
      <alignment horizontal="left" vertical="center" wrapText="1"/>
    </xf>
    <xf numFmtId="4" fontId="99" fillId="2" borderId="20" xfId="0" applyNumberFormat="1" applyFont="1" applyFill="1" applyBorder="1" applyAlignment="1">
      <alignment horizontal="right" vertical="center"/>
    </xf>
    <xf numFmtId="4" fontId="81" fillId="2" borderId="20" xfId="0" applyNumberFormat="1" applyFont="1" applyFill="1" applyBorder="1" applyAlignment="1">
      <alignment horizontal="right" vertical="center"/>
    </xf>
    <xf numFmtId="10" fontId="81" fillId="0" borderId="20" xfId="0" applyNumberFormat="1" applyFont="1" applyBorder="1" applyAlignment="1">
      <alignment horizontal="center" vertical="center"/>
    </xf>
    <xf numFmtId="10" fontId="81" fillId="0" borderId="24" xfId="0" applyNumberFormat="1" applyFont="1" applyBorder="1" applyAlignment="1">
      <alignment horizontal="center" vertical="center"/>
    </xf>
    <xf numFmtId="0" fontId="48" fillId="2" borderId="1"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4" xfId="0" applyFont="1" applyFill="1" applyBorder="1" applyAlignment="1">
      <alignment horizontal="left" vertical="center" wrapText="1"/>
    </xf>
    <xf numFmtId="4" fontId="0" fillId="0" borderId="24" xfId="0" applyNumberFormat="1" applyBorder="1" applyAlignment="1">
      <alignment horizontal="right" vertical="center"/>
    </xf>
    <xf numFmtId="4" fontId="0" fillId="0" borderId="0" xfId="0" applyNumberFormat="1" applyAlignment="1">
      <alignment horizontal="center"/>
    </xf>
    <xf numFmtId="0" fontId="0" fillId="0" borderId="1" xfId="0" applyBorder="1" applyAlignment="1">
      <alignment horizontal="left" vertical="center" wrapText="1"/>
    </xf>
    <xf numFmtId="0" fontId="46" fillId="2" borderId="1" xfId="0" applyFont="1" applyFill="1" applyBorder="1" applyAlignment="1">
      <alignment horizontal="left" vertical="center" wrapText="1"/>
    </xf>
    <xf numFmtId="0" fontId="45" fillId="0" borderId="31" xfId="0" applyFont="1" applyFill="1" applyBorder="1" applyAlignment="1">
      <alignment vertical="center" wrapText="1"/>
    </xf>
    <xf numFmtId="10" fontId="81" fillId="0" borderId="33" xfId="0" applyNumberFormat="1" applyFont="1" applyBorder="1" applyAlignment="1">
      <alignment horizontal="center" vertical="center"/>
    </xf>
    <xf numFmtId="0" fontId="0" fillId="0" borderId="24" xfId="0" applyBorder="1" applyAlignment="1">
      <alignment horizontal="center" vertical="center"/>
    </xf>
    <xf numFmtId="0" fontId="43" fillId="2" borderId="1" xfId="0" applyFont="1" applyFill="1" applyBorder="1" applyAlignment="1">
      <alignment horizontal="left" vertical="center" wrapText="1"/>
    </xf>
    <xf numFmtId="4" fontId="98" fillId="0" borderId="5" xfId="0" applyNumberFormat="1" applyFont="1" applyFill="1" applyBorder="1" applyAlignment="1">
      <alignment horizontal="right" vertical="center" wrapText="1"/>
    </xf>
    <xf numFmtId="0" fontId="43" fillId="2" borderId="2" xfId="0" applyFont="1" applyFill="1" applyBorder="1" applyAlignment="1">
      <alignment horizontal="left" vertical="center" wrapText="1"/>
    </xf>
    <xf numFmtId="4" fontId="88" fillId="19" borderId="55" xfId="0" applyNumberFormat="1" applyFont="1" applyFill="1" applyBorder="1" applyAlignment="1">
      <alignment horizontal="center" vertical="center"/>
    </xf>
    <xf numFmtId="0" fontId="88" fillId="19" borderId="0" xfId="0" applyFont="1" applyFill="1" applyAlignment="1">
      <alignment vertical="center"/>
    </xf>
    <xf numFmtId="0" fontId="81" fillId="2" borderId="20" xfId="0" applyFont="1" applyFill="1" applyBorder="1" applyAlignment="1">
      <alignment horizontal="left" vertical="center" wrapText="1"/>
    </xf>
    <xf numFmtId="4" fontId="102" fillId="2" borderId="5" xfId="0" applyNumberFormat="1" applyFont="1" applyFill="1" applyBorder="1" applyAlignment="1">
      <alignment horizontal="right" vertical="center"/>
    </xf>
    <xf numFmtId="4" fontId="112" fillId="0" borderId="26" xfId="0" applyNumberFormat="1" applyFont="1" applyFill="1" applyBorder="1" applyAlignment="1">
      <alignment vertical="center"/>
    </xf>
    <xf numFmtId="4" fontId="99" fillId="0" borderId="5" xfId="0" applyNumberFormat="1" applyFont="1" applyFill="1" applyBorder="1" applyAlignment="1">
      <alignment vertical="center"/>
    </xf>
    <xf numFmtId="4" fontId="98" fillId="0" borderId="5" xfId="0" applyNumberFormat="1" applyFont="1" applyFill="1" applyBorder="1" applyAlignment="1">
      <alignment horizontal="right" vertical="center"/>
    </xf>
    <xf numFmtId="4" fontId="112" fillId="0" borderId="5" xfId="0" applyNumberFormat="1" applyFont="1" applyFill="1" applyBorder="1" applyAlignment="1">
      <alignment vertical="center"/>
    </xf>
    <xf numFmtId="4" fontId="99" fillId="0" borderId="5" xfId="0" applyNumberFormat="1" applyFont="1" applyFill="1" applyBorder="1" applyAlignment="1">
      <alignment horizontal="right" vertical="center" wrapText="1"/>
    </xf>
    <xf numFmtId="4" fontId="129" fillId="0" borderId="5" xfId="0" applyNumberFormat="1" applyFont="1" applyFill="1" applyBorder="1" applyAlignment="1">
      <alignment horizontal="right" vertical="center" wrapText="1"/>
    </xf>
    <xf numFmtId="4" fontId="92" fillId="0" borderId="2" xfId="0" applyNumberFormat="1" applyFont="1" applyFill="1" applyBorder="1" applyAlignment="1">
      <alignment horizontal="right" vertical="center" wrapText="1"/>
    </xf>
    <xf numFmtId="4" fontId="112" fillId="0" borderId="5" xfId="0" applyNumberFormat="1" applyFont="1" applyFill="1" applyBorder="1" applyAlignment="1">
      <alignment horizontal="right" vertical="center"/>
    </xf>
    <xf numFmtId="4" fontId="99" fillId="0" borderId="5" xfId="0" applyNumberFormat="1" applyFont="1" applyFill="1" applyBorder="1" applyAlignment="1">
      <alignment horizontal="right" vertical="center"/>
    </xf>
    <xf numFmtId="4" fontId="98" fillId="0" borderId="18" xfId="0" applyNumberFormat="1" applyFont="1" applyFill="1" applyBorder="1" applyAlignment="1">
      <alignment horizontal="right" vertical="center" wrapText="1"/>
    </xf>
    <xf numFmtId="4" fontId="98" fillId="0" borderId="18" xfId="0" applyNumberFormat="1" applyFont="1" applyFill="1" applyBorder="1" applyAlignment="1">
      <alignment vertical="center"/>
    </xf>
    <xf numFmtId="4" fontId="99" fillId="0" borderId="50" xfId="0" applyNumberFormat="1" applyFont="1" applyFill="1" applyBorder="1" applyAlignment="1">
      <alignment horizontal="right" vertical="center" wrapText="1"/>
    </xf>
    <xf numFmtId="4" fontId="98" fillId="0" borderId="24" xfId="0" applyNumberFormat="1" applyFont="1" applyFill="1" applyBorder="1" applyAlignment="1">
      <alignment vertical="center"/>
    </xf>
    <xf numFmtId="10" fontId="98" fillId="0" borderId="22" xfId="0" applyNumberFormat="1" applyFont="1" applyFill="1" applyBorder="1" applyAlignment="1">
      <alignment horizontal="center" vertical="center"/>
    </xf>
    <xf numFmtId="4" fontId="99" fillId="0" borderId="12" xfId="0" applyNumberFormat="1" applyFont="1" applyFill="1" applyBorder="1" applyAlignment="1">
      <alignment vertical="center"/>
    </xf>
    <xf numFmtId="0" fontId="130" fillId="0" borderId="12" xfId="0" applyFont="1" applyFill="1" applyBorder="1" applyAlignment="1">
      <alignment horizontal="right" vertical="center"/>
    </xf>
    <xf numFmtId="4" fontId="98" fillId="0" borderId="27" xfId="0" applyNumberFormat="1" applyFont="1" applyFill="1" applyBorder="1" applyAlignment="1">
      <alignment horizontal="right" vertical="center"/>
    </xf>
    <xf numFmtId="4" fontId="112" fillId="0" borderId="24" xfId="0" applyNumberFormat="1" applyFont="1" applyFill="1" applyBorder="1" applyAlignment="1">
      <alignment vertical="center"/>
    </xf>
    <xf numFmtId="4" fontId="99" fillId="0" borderId="17" xfId="0" applyNumberFormat="1" applyFont="1" applyFill="1" applyBorder="1" applyAlignment="1">
      <alignment horizontal="right" vertical="center" wrapText="1"/>
    </xf>
    <xf numFmtId="4" fontId="99" fillId="0" borderId="38" xfId="0" applyNumberFormat="1" applyFont="1" applyFill="1" applyBorder="1" applyAlignment="1">
      <alignment horizontal="right" vertical="center"/>
    </xf>
    <xf numFmtId="10" fontId="81" fillId="0" borderId="24" xfId="0" applyNumberFormat="1" applyFont="1" applyBorder="1" applyAlignment="1">
      <alignment horizontal="center" vertical="center"/>
    </xf>
    <xf numFmtId="0" fontId="42" fillId="2" borderId="1" xfId="0" applyFont="1" applyFill="1" applyBorder="1" applyAlignment="1">
      <alignment vertical="center" wrapText="1"/>
    </xf>
    <xf numFmtId="0" fontId="0" fillId="0" borderId="1" xfId="0" applyBorder="1" applyAlignment="1">
      <alignment horizontal="left" vertical="center" wrapText="1"/>
    </xf>
    <xf numFmtId="0" fontId="98" fillId="2" borderId="27" xfId="0" applyFont="1" applyFill="1" applyBorder="1" applyAlignment="1">
      <alignment vertical="center" wrapText="1"/>
    </xf>
    <xf numFmtId="0" fontId="41" fillId="0" borderId="2" xfId="0" applyFont="1" applyBorder="1" applyAlignment="1">
      <alignment horizontal="left" vertical="center" wrapText="1"/>
    </xf>
    <xf numFmtId="0" fontId="41" fillId="2" borderId="1" xfId="0" applyFont="1" applyFill="1" applyBorder="1" applyAlignment="1">
      <alignment horizontal="left" vertical="center" wrapText="1"/>
    </xf>
    <xf numFmtId="0" fontId="0" fillId="0" borderId="1" xfId="0" applyBorder="1" applyAlignment="1">
      <alignment horizontal="left" vertical="center" wrapText="1"/>
    </xf>
    <xf numFmtId="0" fontId="40" fillId="2" borderId="1" xfId="0" applyFont="1" applyFill="1" applyBorder="1" applyAlignment="1">
      <alignment horizontal="left" vertical="center" wrapText="1"/>
    </xf>
    <xf numFmtId="4" fontId="39" fillId="0" borderId="1" xfId="0" applyNumberFormat="1" applyFont="1" applyFill="1" applyBorder="1" applyAlignment="1">
      <alignment horizontal="right" vertical="center" wrapText="1"/>
    </xf>
    <xf numFmtId="4" fontId="124" fillId="0" borderId="30" xfId="0" applyNumberFormat="1" applyFont="1" applyFill="1" applyBorder="1" applyAlignment="1">
      <alignment horizontal="left" vertical="center"/>
    </xf>
    <xf numFmtId="4" fontId="124" fillId="0" borderId="5" xfId="0" applyNumberFormat="1" applyFont="1" applyFill="1" applyBorder="1" applyAlignment="1">
      <alignment horizontal="left" vertical="center"/>
    </xf>
    <xf numFmtId="4" fontId="107" fillId="0" borderId="1" xfId="0" applyNumberFormat="1" applyFont="1" applyFill="1" applyBorder="1" applyAlignment="1">
      <alignment horizontal="left" vertical="center"/>
    </xf>
    <xf numFmtId="0" fontId="38" fillId="2" borderId="1" xfId="0" applyFont="1" applyFill="1" applyBorder="1" applyAlignment="1">
      <alignment horizontal="left" vertical="center" wrapText="1"/>
    </xf>
    <xf numFmtId="0" fontId="0" fillId="0" borderId="28" xfId="0" applyBorder="1" applyAlignment="1">
      <alignment vertical="center"/>
    </xf>
    <xf numFmtId="0" fontId="37" fillId="0" borderId="2" xfId="0" applyFont="1" applyFill="1" applyBorder="1" applyAlignment="1">
      <alignment horizontal="left" vertical="center" wrapText="1"/>
    </xf>
    <xf numFmtId="0" fontId="0" fillId="0" borderId="1" xfId="0" applyBorder="1" applyAlignment="1">
      <alignment horizontal="left" vertical="center" wrapText="1"/>
    </xf>
    <xf numFmtId="0" fontId="36" fillId="2" borderId="1" xfId="0" applyFont="1" applyFill="1" applyBorder="1" applyAlignment="1">
      <alignment horizontal="left" vertical="center" wrapText="1"/>
    </xf>
    <xf numFmtId="0" fontId="130" fillId="0" borderId="5" xfId="0" applyFont="1" applyFill="1" applyBorder="1" applyAlignment="1">
      <alignment horizontal="right" vertical="center"/>
    </xf>
    <xf numFmtId="4" fontId="99" fillId="0" borderId="27" xfId="0" applyNumberFormat="1" applyFont="1" applyFill="1" applyBorder="1" applyAlignment="1">
      <alignment horizontal="right" vertical="center"/>
    </xf>
    <xf numFmtId="4" fontId="99" fillId="0" borderId="30" xfId="0" applyNumberFormat="1" applyFont="1" applyFill="1" applyBorder="1" applyAlignment="1">
      <alignment horizontal="right" vertical="center"/>
    </xf>
    <xf numFmtId="4" fontId="99" fillId="0" borderId="27" xfId="0" applyNumberFormat="1" applyFont="1" applyBorder="1" applyAlignment="1">
      <alignment horizontal="right" vertical="center"/>
    </xf>
    <xf numFmtId="4" fontId="99" fillId="0" borderId="6" xfId="0" applyNumberFormat="1" applyFont="1" applyFill="1" applyBorder="1" applyAlignment="1">
      <alignment horizontal="right" vertical="center" wrapText="1"/>
    </xf>
    <xf numFmtId="4" fontId="99" fillId="0" borderId="2" xfId="0" applyNumberFormat="1" applyFont="1" applyFill="1" applyBorder="1" applyAlignment="1">
      <alignment horizontal="right" vertical="center"/>
    </xf>
    <xf numFmtId="0" fontId="105" fillId="0" borderId="0" xfId="0" applyFont="1" applyFill="1" applyBorder="1" applyAlignment="1">
      <alignment horizontal="left"/>
    </xf>
    <xf numFmtId="0" fontId="88"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05" fillId="0" borderId="0" xfId="0" applyFont="1" applyFill="1" applyBorder="1" applyAlignment="1">
      <alignment horizontal="right"/>
    </xf>
    <xf numFmtId="0" fontId="98" fillId="0" borderId="27" xfId="0"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4" fontId="99" fillId="0" borderId="12" xfId="0" applyNumberFormat="1" applyFont="1" applyBorder="1" applyAlignment="1">
      <alignment horizontal="right" vertical="center"/>
    </xf>
    <xf numFmtId="0" fontId="0" fillId="0" borderId="1" xfId="0" applyBorder="1" applyAlignment="1">
      <alignment horizontal="left" vertical="center" wrapText="1"/>
    </xf>
    <xf numFmtId="0" fontId="35" fillId="2" borderId="1" xfId="0" applyFont="1" applyFill="1" applyBorder="1" applyAlignment="1">
      <alignment horizontal="left" vertical="center" wrapText="1"/>
    </xf>
    <xf numFmtId="10" fontId="0" fillId="0" borderId="1" xfId="0" applyNumberFormat="1" applyBorder="1" applyAlignment="1">
      <alignment horizontal="center" vertical="center"/>
    </xf>
    <xf numFmtId="10" fontId="81" fillId="0" borderId="34" xfId="0" applyNumberFormat="1" applyFont="1" applyBorder="1" applyAlignment="1">
      <alignment horizontal="center" vertical="center"/>
    </xf>
    <xf numFmtId="10" fontId="81" fillId="0" borderId="24" xfId="0" applyNumberFormat="1" applyFont="1" applyBorder="1" applyAlignment="1">
      <alignment horizontal="center" vertical="center"/>
    </xf>
    <xf numFmtId="0" fontId="34"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0" fillId="0" borderId="5" xfId="0" applyNumberFormat="1" applyBorder="1" applyAlignment="1">
      <alignment horizontal="center" vertical="center"/>
    </xf>
    <xf numFmtId="10" fontId="81" fillId="0" borderId="33" xfId="0" applyNumberFormat="1" applyFont="1" applyBorder="1" applyAlignment="1">
      <alignment horizontal="center" vertical="center"/>
    </xf>
    <xf numFmtId="0" fontId="0" fillId="0" borderId="24" xfId="0" applyBorder="1" applyAlignment="1">
      <alignment horizontal="center" vertical="center"/>
    </xf>
    <xf numFmtId="0" fontId="33" fillId="2" borderId="1" xfId="0" applyFont="1" applyFill="1" applyBorder="1" applyAlignment="1">
      <alignment horizontal="left" vertical="center" wrapText="1"/>
    </xf>
    <xf numFmtId="0" fontId="98" fillId="0" borderId="15"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0" fillId="0" borderId="1" xfId="0" applyBorder="1" applyAlignment="1">
      <alignment horizontal="left" vertical="center" wrapText="1"/>
    </xf>
    <xf numFmtId="0" fontId="32" fillId="2" borderId="1" xfId="0" applyFont="1" applyFill="1" applyBorder="1" applyAlignment="1">
      <alignment horizontal="left" vertical="center" wrapText="1"/>
    </xf>
    <xf numFmtId="0" fontId="29" fillId="0" borderId="2" xfId="0" applyFont="1" applyBorder="1" applyAlignment="1">
      <alignment horizontal="left" vertical="center" wrapText="1"/>
    </xf>
    <xf numFmtId="4" fontId="98" fillId="2" borderId="1" xfId="0" applyNumberFormat="1" applyFont="1" applyFill="1" applyBorder="1" applyAlignment="1">
      <alignment horizontal="right" vertical="center"/>
    </xf>
    <xf numFmtId="0" fontId="28" fillId="2" borderId="1" xfId="0" applyFont="1" applyFill="1" applyBorder="1" applyAlignment="1">
      <alignment horizontal="left" vertical="center" wrapText="1"/>
    </xf>
    <xf numFmtId="4" fontId="26" fillId="0" borderId="1" xfId="0" applyNumberFormat="1" applyFont="1" applyBorder="1" applyAlignment="1">
      <alignment horizontal="center" vertical="center"/>
    </xf>
    <xf numFmtId="4" fontId="98" fillId="0" borderId="1" xfId="0" applyNumberFormat="1" applyFont="1" applyFill="1" applyBorder="1" applyAlignment="1">
      <alignment horizontal="center" vertical="center"/>
    </xf>
    <xf numFmtId="0" fontId="26" fillId="0" borderId="5" xfId="0" applyFont="1" applyFill="1" applyBorder="1" applyAlignment="1">
      <alignment vertical="center" wrapText="1"/>
    </xf>
    <xf numFmtId="0" fontId="25" fillId="0" borderId="5" xfId="0" applyFont="1" applyBorder="1" applyAlignment="1">
      <alignment vertical="center" wrapText="1"/>
    </xf>
    <xf numFmtId="0" fontId="25" fillId="0" borderId="1" xfId="0" applyFont="1" applyFill="1" applyBorder="1" applyAlignment="1">
      <alignment vertical="center" wrapText="1"/>
    </xf>
    <xf numFmtId="14" fontId="25" fillId="0" borderId="5" xfId="0" applyNumberFormat="1" applyFont="1" applyFill="1" applyBorder="1" applyAlignment="1">
      <alignment vertical="center" wrapText="1"/>
    </xf>
    <xf numFmtId="0" fontId="25" fillId="17" borderId="55" xfId="0" applyFont="1" applyFill="1" applyBorder="1" applyAlignment="1">
      <alignment horizontal="center" vertical="center"/>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25" fillId="0" borderId="4" xfId="0" applyFont="1" applyFill="1" applyBorder="1" applyAlignment="1">
      <alignment vertical="center" wrapText="1"/>
    </xf>
    <xf numFmtId="4" fontId="92" fillId="0" borderId="20" xfId="0" applyNumberFormat="1" applyFont="1" applyFill="1" applyBorder="1" applyAlignment="1">
      <alignment horizontal="right" vertical="center"/>
    </xf>
    <xf numFmtId="0" fontId="98" fillId="0" borderId="20" xfId="0" applyFont="1" applyFill="1" applyBorder="1" applyAlignment="1">
      <alignment horizontal="left" vertical="center" wrapText="1"/>
    </xf>
    <xf numFmtId="0" fontId="98" fillId="0" borderId="1" xfId="0" applyFont="1" applyFill="1" applyBorder="1" applyAlignment="1">
      <alignment horizontal="left" vertical="center" wrapText="1"/>
    </xf>
    <xf numFmtId="0" fontId="98" fillId="0" borderId="1" xfId="0" applyFont="1" applyBorder="1" applyAlignment="1">
      <alignment horizontal="left" vertical="center" wrapText="1"/>
    </xf>
    <xf numFmtId="0" fontId="92" fillId="0" borderId="20" xfId="5" applyFont="1" applyBorder="1" applyAlignment="1">
      <alignment horizontal="left" vertical="center" wrapText="1"/>
    </xf>
    <xf numFmtId="4" fontId="92"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98" fillId="0" borderId="2" xfId="0" applyNumberFormat="1" applyFont="1" applyFill="1" applyBorder="1" applyAlignment="1">
      <alignment horizontal="center" vertical="center"/>
    </xf>
    <xf numFmtId="0" fontId="106" fillId="0" borderId="0" xfId="0" applyFont="1" applyFill="1" applyBorder="1" applyAlignment="1">
      <alignment horizontal="left"/>
    </xf>
    <xf numFmtId="0" fontId="135" fillId="5" borderId="8"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10" xfId="0" applyFont="1" applyFill="1" applyBorder="1" applyAlignment="1">
      <alignment horizontal="left" vertical="center" wrapText="1"/>
    </xf>
    <xf numFmtId="4" fontId="23" fillId="0" borderId="24" xfId="0" applyNumberFormat="1" applyFont="1" applyFill="1" applyBorder="1" applyAlignment="1">
      <alignment vertical="center"/>
    </xf>
    <xf numFmtId="4" fontId="23" fillId="0" borderId="6" xfId="0" applyNumberFormat="1" applyFont="1" applyFill="1" applyBorder="1" applyAlignment="1">
      <alignment horizontal="right" vertical="center"/>
    </xf>
    <xf numFmtId="10" fontId="23" fillId="0" borderId="34" xfId="0" applyNumberFormat="1" applyFont="1" applyFill="1" applyBorder="1" applyAlignment="1">
      <alignment horizontal="center" vertical="center"/>
    </xf>
    <xf numFmtId="4" fontId="23" fillId="0" borderId="22" xfId="0" applyNumberFormat="1" applyFont="1" applyFill="1" applyBorder="1" applyAlignment="1">
      <alignment vertical="center"/>
    </xf>
    <xf numFmtId="4" fontId="23" fillId="0" borderId="2" xfId="0" applyNumberFormat="1" applyFont="1" applyFill="1" applyBorder="1" applyAlignment="1">
      <alignment horizontal="right" vertical="center"/>
    </xf>
    <xf numFmtId="10" fontId="23" fillId="0" borderId="22"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4" fontId="23" fillId="0" borderId="22" xfId="0" applyNumberFormat="1" applyFont="1" applyFill="1" applyBorder="1" applyAlignment="1">
      <alignment horizontal="right" vertical="center"/>
    </xf>
    <xf numFmtId="0" fontId="23" fillId="0" borderId="1" xfId="0" applyFont="1" applyFill="1" applyBorder="1" applyAlignment="1">
      <alignment vertical="center"/>
    </xf>
    <xf numFmtId="0" fontId="23" fillId="0" borderId="1" xfId="5" applyFont="1" applyBorder="1" applyAlignment="1">
      <alignment horizontal="left" vertical="center" wrapText="1"/>
    </xf>
    <xf numFmtId="0" fontId="23" fillId="0" borderId="1" xfId="0" applyFont="1" applyBorder="1" applyAlignment="1">
      <alignment horizontal="left" vertical="center"/>
    </xf>
    <xf numFmtId="4" fontId="23" fillId="0" borderId="1" xfId="0" applyNumberFormat="1" applyFont="1" applyBorder="1" applyAlignment="1">
      <alignment horizontal="right" vertical="center"/>
    </xf>
    <xf numFmtId="4" fontId="98" fillId="0" borderId="1" xfId="0" applyNumberFormat="1" applyFont="1" applyBorder="1" applyAlignment="1">
      <alignment horizontal="left" vertical="center"/>
    </xf>
    <xf numFmtId="4" fontId="23" fillId="0" borderId="2" xfId="0" applyNumberFormat="1" applyFont="1" applyFill="1" applyBorder="1" applyAlignment="1">
      <alignment vertical="center"/>
    </xf>
    <xf numFmtId="10" fontId="23" fillId="0" borderId="30" xfId="0" applyNumberFormat="1" applyFont="1" applyFill="1" applyBorder="1" applyAlignment="1">
      <alignment horizontal="center" vertical="center"/>
    </xf>
    <xf numFmtId="0" fontId="23" fillId="0" borderId="6" xfId="0" applyFont="1" applyFill="1" applyBorder="1" applyAlignment="1">
      <alignment horizontal="left" vertical="center" wrapText="1"/>
    </xf>
    <xf numFmtId="4" fontId="23" fillId="0" borderId="27" xfId="0" applyNumberFormat="1" applyFont="1" applyFill="1" applyBorder="1" applyAlignment="1">
      <alignment vertical="center" wrapText="1"/>
    </xf>
    <xf numFmtId="4" fontId="23" fillId="0" borderId="18" xfId="0" applyNumberFormat="1" applyFont="1" applyFill="1" applyBorder="1" applyAlignment="1">
      <alignment horizontal="right" vertical="center" wrapText="1"/>
    </xf>
    <xf numFmtId="4" fontId="23" fillId="0" borderId="2" xfId="0" applyNumberFormat="1" applyFont="1" applyFill="1" applyBorder="1" applyAlignment="1">
      <alignment horizontal="right" vertical="center" wrapText="1"/>
    </xf>
    <xf numFmtId="4" fontId="23" fillId="0" borderId="18" xfId="0" applyNumberFormat="1" applyFont="1" applyFill="1" applyBorder="1" applyAlignment="1">
      <alignment horizontal="right" vertical="center"/>
    </xf>
    <xf numFmtId="4" fontId="23" fillId="0" borderId="5" xfId="0" applyNumberFormat="1" applyFont="1" applyFill="1" applyBorder="1" applyAlignment="1">
      <alignment horizontal="right" vertical="center"/>
    </xf>
    <xf numFmtId="0" fontId="23" fillId="2" borderId="2" xfId="0" applyFont="1" applyFill="1" applyBorder="1" applyAlignment="1">
      <alignment horizontal="left" vertical="center" wrapText="1"/>
    </xf>
    <xf numFmtId="4" fontId="23" fillId="0" borderId="30" xfId="0" applyNumberFormat="1" applyFont="1" applyFill="1" applyBorder="1" applyAlignment="1">
      <alignment vertical="center"/>
    </xf>
    <xf numFmtId="4" fontId="23" fillId="0" borderId="27" xfId="0" applyNumberFormat="1" applyFont="1" applyFill="1" applyBorder="1" applyAlignment="1">
      <alignment vertical="center"/>
    </xf>
    <xf numFmtId="4" fontId="23" fillId="0" borderId="17" xfId="0" applyNumberFormat="1" applyFont="1" applyFill="1" applyBorder="1" applyAlignment="1">
      <alignment vertical="center"/>
    </xf>
    <xf numFmtId="0" fontId="23" fillId="0" borderId="1" xfId="0" applyFont="1" applyFill="1" applyBorder="1" applyAlignment="1">
      <alignment vertical="center" wrapText="1"/>
    </xf>
    <xf numFmtId="4" fontId="98" fillId="0" borderId="1" xfId="0" applyNumberFormat="1" applyFont="1" applyFill="1" applyBorder="1" applyAlignment="1">
      <alignment horizontal="left" vertical="center" wrapText="1"/>
    </xf>
    <xf numFmtId="4" fontId="23" fillId="0" borderId="18" xfId="0" applyNumberFormat="1" applyFont="1" applyFill="1" applyBorder="1" applyAlignment="1">
      <alignment vertical="center"/>
    </xf>
    <xf numFmtId="4" fontId="23" fillId="0" borderId="38" xfId="0" applyNumberFormat="1" applyFont="1" applyFill="1" applyBorder="1" applyAlignment="1">
      <alignment vertical="center"/>
    </xf>
    <xf numFmtId="4" fontId="23" fillId="0" borderId="33" xfId="0" applyNumberFormat="1" applyFont="1" applyFill="1" applyBorder="1" applyAlignment="1">
      <alignment vertical="center"/>
    </xf>
    <xf numFmtId="0" fontId="23" fillId="0" borderId="6" xfId="0" applyFont="1" applyFill="1" applyBorder="1" applyAlignment="1">
      <alignment horizontal="center" vertical="center" wrapText="1"/>
    </xf>
    <xf numFmtId="0" fontId="23" fillId="0" borderId="18" xfId="0" applyFont="1" applyFill="1" applyBorder="1" applyAlignment="1">
      <alignment horizontal="left" vertical="center" wrapText="1"/>
    </xf>
    <xf numFmtId="4" fontId="23" fillId="0" borderId="24" xfId="0" applyNumberFormat="1" applyFont="1" applyFill="1" applyBorder="1" applyAlignment="1">
      <alignment horizontal="right" vertical="center"/>
    </xf>
    <xf numFmtId="0" fontId="23" fillId="0" borderId="40" xfId="0" applyFont="1" applyFill="1" applyBorder="1" applyAlignment="1">
      <alignment horizontal="left" vertical="center" wrapText="1"/>
    </xf>
    <xf numFmtId="4" fontId="23" fillId="0" borderId="6" xfId="0" applyNumberFormat="1" applyFont="1" applyFill="1" applyBorder="1" applyAlignment="1">
      <alignment horizontal="center" vertical="center" wrapText="1"/>
    </xf>
    <xf numFmtId="4" fontId="23" fillId="0" borderId="6" xfId="0" applyNumberFormat="1" applyFont="1" applyFill="1" applyBorder="1" applyAlignment="1">
      <alignment vertical="center"/>
    </xf>
    <xf numFmtId="10" fontId="23" fillId="0" borderId="24" xfId="0" applyNumberFormat="1" applyFont="1" applyFill="1" applyBorder="1" applyAlignment="1">
      <alignment horizontal="center" vertical="center"/>
    </xf>
    <xf numFmtId="0" fontId="23" fillId="0" borderId="1" xfId="0" applyFont="1" applyFill="1" applyBorder="1" applyAlignment="1">
      <alignment horizontal="left" vertical="center"/>
    </xf>
    <xf numFmtId="0" fontId="23" fillId="0" borderId="18" xfId="0" applyFont="1" applyFill="1" applyBorder="1" applyAlignment="1">
      <alignment vertical="center" wrapText="1"/>
    </xf>
    <xf numFmtId="0" fontId="23" fillId="0" borderId="40" xfId="0" applyFont="1" applyFill="1" applyBorder="1" applyAlignment="1">
      <alignment vertical="center" wrapText="1"/>
    </xf>
    <xf numFmtId="4" fontId="23" fillId="0" borderId="40" xfId="0" applyNumberFormat="1" applyFont="1" applyFill="1" applyBorder="1" applyAlignment="1">
      <alignment vertical="center"/>
    </xf>
    <xf numFmtId="0" fontId="23" fillId="0" borderId="20" xfId="0" applyFont="1" applyFill="1" applyBorder="1" applyAlignment="1">
      <alignment horizontal="left" vertical="center" wrapText="1"/>
    </xf>
    <xf numFmtId="0" fontId="23" fillId="0" borderId="37" xfId="0" applyFont="1" applyFill="1" applyBorder="1" applyAlignment="1">
      <alignment horizontal="left" vertical="center" wrapText="1"/>
    </xf>
    <xf numFmtId="10" fontId="23" fillId="0" borderId="33" xfId="0" applyNumberFormat="1" applyFont="1" applyFill="1" applyBorder="1" applyAlignment="1">
      <alignment horizontal="center" vertical="center"/>
    </xf>
    <xf numFmtId="0" fontId="23" fillId="0" borderId="56" xfId="0" applyFont="1" applyFill="1" applyBorder="1" applyAlignment="1">
      <alignment horizontal="left" vertical="center" wrapText="1"/>
    </xf>
    <xf numFmtId="0" fontId="23" fillId="0" borderId="17" xfId="0" applyFont="1" applyFill="1" applyBorder="1" applyAlignment="1">
      <alignment horizontal="right"/>
    </xf>
    <xf numFmtId="0" fontId="23" fillId="0" borderId="20" xfId="0" applyFont="1" applyBorder="1" applyAlignment="1">
      <alignment horizontal="left" vertical="center"/>
    </xf>
    <xf numFmtId="4" fontId="98" fillId="0" borderId="20" xfId="0" applyNumberFormat="1" applyFont="1" applyFill="1" applyBorder="1" applyAlignment="1">
      <alignment horizontal="left" vertical="center" wrapText="1"/>
    </xf>
    <xf numFmtId="4" fontId="23" fillId="0" borderId="33" xfId="0" applyNumberFormat="1" applyFont="1" applyBorder="1" applyAlignment="1">
      <alignment horizontal="right" vertical="center"/>
    </xf>
    <xf numFmtId="4" fontId="23" fillId="0" borderId="37" xfId="0" applyNumberFormat="1" applyFont="1" applyBorder="1" applyAlignment="1">
      <alignment horizontal="right" vertical="center"/>
    </xf>
    <xf numFmtId="10" fontId="23" fillId="0" borderId="33" xfId="0" applyNumberFormat="1" applyFont="1" applyBorder="1" applyAlignment="1">
      <alignment horizontal="center" vertical="center"/>
    </xf>
    <xf numFmtId="4" fontId="98" fillId="0" borderId="20" xfId="0" applyNumberFormat="1" applyFont="1" applyFill="1" applyBorder="1" applyAlignment="1">
      <alignment horizontal="left" vertical="center"/>
    </xf>
    <xf numFmtId="0" fontId="23" fillId="0" borderId="59" xfId="0" applyFont="1" applyFill="1" applyBorder="1" applyAlignment="1">
      <alignment horizontal="left" vertical="center" wrapText="1"/>
    </xf>
    <xf numFmtId="4" fontId="23" fillId="0" borderId="24" xfId="0" applyNumberFormat="1" applyFont="1" applyBorder="1" applyAlignment="1">
      <alignment horizontal="right" vertical="center"/>
    </xf>
    <xf numFmtId="10" fontId="23" fillId="0" borderId="22" xfId="0" applyNumberFormat="1" applyFont="1" applyBorder="1" applyAlignment="1">
      <alignment horizontal="center" vertical="center"/>
    </xf>
    <xf numFmtId="0" fontId="23" fillId="5" borderId="57" xfId="0" applyFont="1" applyFill="1" applyBorder="1" applyAlignment="1">
      <alignment horizontal="left" vertical="center" wrapText="1"/>
    </xf>
    <xf numFmtId="0" fontId="23" fillId="5" borderId="57" xfId="0" applyFont="1" applyFill="1" applyBorder="1" applyAlignment="1">
      <alignment horizontal="left" vertical="center"/>
    </xf>
    <xf numFmtId="4" fontId="104" fillId="5" borderId="57" xfId="0" applyNumberFormat="1" applyFont="1" applyFill="1" applyBorder="1" applyAlignment="1">
      <alignment horizontal="left" vertical="center"/>
    </xf>
    <xf numFmtId="0" fontId="23" fillId="5" borderId="57" xfId="0" applyFont="1" applyFill="1" applyBorder="1" applyAlignment="1">
      <alignment horizontal="center" vertical="center"/>
    </xf>
    <xf numFmtId="0" fontId="23" fillId="5" borderId="58" xfId="0" applyFont="1" applyFill="1" applyBorder="1" applyAlignment="1">
      <alignment horizontal="center" vertical="center"/>
    </xf>
    <xf numFmtId="0" fontId="98" fillId="0" borderId="27" xfId="0" applyFont="1" applyFill="1" applyBorder="1" applyAlignment="1">
      <alignment horizontal="left" vertical="center"/>
    </xf>
    <xf numFmtId="0" fontId="23" fillId="0" borderId="15" xfId="0" applyFont="1" applyBorder="1" applyAlignment="1">
      <alignment horizontal="center" vertical="center"/>
    </xf>
    <xf numFmtId="0" fontId="23" fillId="0" borderId="24" xfId="0" applyFont="1" applyBorder="1" applyAlignment="1">
      <alignment horizontal="center" vertical="center"/>
    </xf>
    <xf numFmtId="0" fontId="23" fillId="0" borderId="17" xfId="0" applyFont="1" applyBorder="1" applyAlignment="1">
      <alignment horizontal="center" vertical="center"/>
    </xf>
    <xf numFmtId="0" fontId="98" fillId="0" borderId="0" xfId="0" applyFont="1" applyAlignment="1">
      <alignment horizontal="left" vertical="center"/>
    </xf>
    <xf numFmtId="0" fontId="98" fillId="0" borderId="0" xfId="0" applyFont="1" applyAlignment="1">
      <alignment horizontal="left"/>
    </xf>
    <xf numFmtId="4" fontId="23" fillId="0" borderId="0" xfId="0" applyNumberFormat="1" applyFont="1" applyFill="1" applyBorder="1" applyAlignment="1">
      <alignment horizontal="center" vertical="center"/>
    </xf>
    <xf numFmtId="4" fontId="23" fillId="0" borderId="0" xfId="0" applyNumberFormat="1" applyFont="1" applyBorder="1" applyAlignment="1">
      <alignment vertical="center"/>
    </xf>
    <xf numFmtId="0" fontId="114" fillId="5" borderId="63" xfId="0" applyFont="1" applyFill="1" applyBorder="1" applyAlignment="1">
      <alignment horizontal="center" vertical="center" wrapText="1"/>
    </xf>
    <xf numFmtId="0" fontId="114" fillId="5" borderId="35" xfId="0" applyFont="1" applyFill="1" applyBorder="1" applyAlignment="1">
      <alignment horizontal="center" vertical="center" wrapText="1"/>
    </xf>
    <xf numFmtId="0" fontId="90" fillId="5" borderId="28" xfId="0" applyFont="1" applyFill="1" applyBorder="1" applyAlignment="1">
      <alignment horizontal="left" vertical="center" wrapText="1"/>
    </xf>
    <xf numFmtId="0" fontId="113" fillId="5" borderId="1" xfId="0" applyFont="1" applyFill="1" applyBorder="1" applyAlignment="1">
      <alignment horizontal="left"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23" fillId="0" borderId="22" xfId="0" applyFont="1" applyFill="1" applyBorder="1" applyAlignment="1">
      <alignment vertical="center" wrapText="1"/>
    </xf>
    <xf numFmtId="0" fontId="23" fillId="0" borderId="17" xfId="0" applyFont="1" applyFill="1" applyBorder="1" applyAlignment="1">
      <alignment horizontal="center" vertical="center"/>
    </xf>
    <xf numFmtId="0" fontId="23" fillId="0" borderId="17" xfId="0" applyFont="1" applyFill="1" applyBorder="1" applyAlignment="1">
      <alignment horizontal="center" vertical="center" wrapText="1"/>
    </xf>
    <xf numFmtId="0" fontId="98" fillId="0" borderId="22" xfId="0" applyFont="1" applyFill="1" applyBorder="1" applyAlignment="1">
      <alignment vertical="center" wrapText="1"/>
    </xf>
    <xf numFmtId="0" fontId="23" fillId="0" borderId="24" xfId="0" applyFont="1" applyFill="1" applyBorder="1" applyAlignment="1">
      <alignment horizontal="left" vertical="center" wrapText="1"/>
    </xf>
    <xf numFmtId="0" fontId="23" fillId="0" borderId="34" xfId="0" applyFont="1" applyFill="1" applyBorder="1" applyAlignment="1">
      <alignment vertical="center" wrapText="1"/>
    </xf>
    <xf numFmtId="0" fontId="23" fillId="0" borderId="50" xfId="0" applyFont="1" applyFill="1" applyBorder="1" applyAlignment="1">
      <alignment horizontal="center" vertical="center"/>
    </xf>
    <xf numFmtId="0" fontId="23" fillId="0" borderId="33" xfId="0" applyFont="1" applyBorder="1" applyAlignment="1">
      <alignment vertical="center" wrapText="1"/>
    </xf>
    <xf numFmtId="0" fontId="23" fillId="0" borderId="22" xfId="0" applyFont="1" applyBorder="1" applyAlignment="1">
      <alignment vertical="center" wrapText="1"/>
    </xf>
    <xf numFmtId="0" fontId="23" fillId="0" borderId="46" xfId="0" applyFont="1" applyFill="1" applyBorder="1" applyAlignment="1">
      <alignment vertical="center" wrapText="1"/>
    </xf>
    <xf numFmtId="0" fontId="23" fillId="0" borderId="39" xfId="0" applyFont="1" applyFill="1" applyBorder="1" applyAlignment="1">
      <alignment vertical="center" wrapText="1"/>
    </xf>
    <xf numFmtId="0" fontId="23" fillId="0" borderId="64" xfId="0" applyFont="1" applyFill="1" applyBorder="1" applyAlignment="1">
      <alignment horizontal="center" vertical="center"/>
    </xf>
    <xf numFmtId="0" fontId="23" fillId="0" borderId="46" xfId="0" applyFont="1" applyBorder="1" applyAlignment="1">
      <alignment vertical="center" wrapText="1"/>
    </xf>
    <xf numFmtId="0" fontId="88" fillId="5" borderId="61" xfId="0" applyFont="1" applyFill="1" applyBorder="1" applyAlignment="1">
      <alignment horizontal="center" vertical="center"/>
    </xf>
    <xf numFmtId="0" fontId="88" fillId="0" borderId="64" xfId="0" applyFont="1" applyBorder="1" applyAlignment="1">
      <alignment horizontal="center" vertical="center"/>
    </xf>
    <xf numFmtId="0" fontId="88" fillId="0" borderId="61" xfId="0" applyFont="1" applyBorder="1" applyAlignment="1">
      <alignment horizontal="center" vertical="center"/>
    </xf>
    <xf numFmtId="0" fontId="88" fillId="0" borderId="57" xfId="0" applyFont="1" applyBorder="1" applyAlignment="1">
      <alignment horizontal="right" vertical="center" wrapText="1"/>
    </xf>
    <xf numFmtId="0" fontId="98" fillId="0" borderId="54" xfId="0" applyFont="1" applyBorder="1" applyAlignment="1">
      <alignment horizontal="center" vertical="center"/>
    </xf>
    <xf numFmtId="4" fontId="111" fillId="0" borderId="55" xfId="0" applyNumberFormat="1" applyFont="1" applyBorder="1" applyAlignment="1">
      <alignment vertical="center"/>
    </xf>
    <xf numFmtId="4" fontId="88" fillId="0" borderId="53" xfId="0" applyNumberFormat="1" applyFont="1" applyBorder="1" applyAlignment="1">
      <alignment horizontal="center" vertical="center"/>
    </xf>
    <xf numFmtId="0" fontId="23" fillId="0" borderId="54" xfId="0" applyFont="1" applyBorder="1" applyAlignment="1">
      <alignment horizontal="center" vertical="center"/>
    </xf>
    <xf numFmtId="0" fontId="23" fillId="0" borderId="57" xfId="0" applyFont="1" applyBorder="1" applyAlignment="1">
      <alignment horizontal="center" vertical="center"/>
    </xf>
    <xf numFmtId="0" fontId="23" fillId="0" borderId="23" xfId="0" applyFont="1" applyBorder="1" applyAlignment="1">
      <alignment horizontal="center" vertical="center"/>
    </xf>
    <xf numFmtId="0" fontId="22" fillId="2" borderId="20" xfId="0" applyFont="1" applyFill="1" applyBorder="1" applyAlignment="1">
      <alignment horizontal="left" vertical="center" wrapText="1"/>
    </xf>
    <xf numFmtId="0" fontId="21" fillId="0" borderId="5" xfId="0" applyFont="1" applyBorder="1" applyAlignment="1">
      <alignment vertical="center" wrapText="1"/>
    </xf>
    <xf numFmtId="0" fontId="21" fillId="0" borderId="31" xfId="0" applyFont="1" applyFill="1" applyBorder="1" applyAlignment="1">
      <alignment vertical="center" wrapText="1"/>
    </xf>
    <xf numFmtId="0" fontId="21" fillId="0" borderId="5" xfId="0" applyFont="1" applyFill="1" applyBorder="1" applyAlignment="1">
      <alignment vertical="center" wrapText="1"/>
    </xf>
    <xf numFmtId="0" fontId="21" fillId="0" borderId="12" xfId="0" applyFont="1" applyFill="1" applyBorder="1" applyAlignment="1">
      <alignment vertical="center" wrapText="1"/>
    </xf>
    <xf numFmtId="0" fontId="21" fillId="0" borderId="41" xfId="0" applyFont="1" applyFill="1" applyBorder="1" applyAlignment="1">
      <alignment vertical="center" wrapText="1"/>
    </xf>
    <xf numFmtId="0" fontId="21" fillId="0" borderId="1" xfId="0" applyFont="1" applyFill="1" applyBorder="1" applyAlignment="1">
      <alignment vertical="center" wrapText="1"/>
    </xf>
    <xf numFmtId="0" fontId="20" fillId="0" borderId="58" xfId="0" applyFont="1" applyFill="1" applyBorder="1" applyAlignment="1">
      <alignment vertical="center" wrapText="1"/>
    </xf>
    <xf numFmtId="0" fontId="20" fillId="0" borderId="1" xfId="0" applyFont="1" applyFill="1" applyBorder="1" applyAlignment="1">
      <alignment horizontal="left" vertical="center" wrapText="1"/>
    </xf>
    <xf numFmtId="0" fontId="0" fillId="0" borderId="0" xfId="0" applyAlignment="1">
      <alignment wrapText="1"/>
    </xf>
    <xf numFmtId="0" fontId="98"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4" fontId="23" fillId="0" borderId="22" xfId="0" applyNumberFormat="1" applyFont="1" applyBorder="1" applyAlignment="1">
      <alignment horizontal="right" vertical="center"/>
    </xf>
    <xf numFmtId="4" fontId="99" fillId="0" borderId="5" xfId="0" applyNumberFormat="1" applyFont="1" applyBorder="1" applyAlignment="1">
      <alignment horizontal="right" vertical="center"/>
    </xf>
    <xf numFmtId="4" fontId="99" fillId="0" borderId="18" xfId="0" applyNumberFormat="1" applyFont="1" applyBorder="1" applyAlignment="1">
      <alignment horizontal="right" vertical="center"/>
    </xf>
    <xf numFmtId="0" fontId="23" fillId="5" borderId="43" xfId="0" applyFont="1" applyFill="1" applyBorder="1" applyAlignment="1">
      <alignment horizontal="center" vertical="center"/>
    </xf>
    <xf numFmtId="0" fontId="18" fillId="0" borderId="1" xfId="0" applyFont="1" applyFill="1" applyBorder="1" applyAlignment="1">
      <alignment horizontal="left" vertical="center"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8"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4" fontId="88" fillId="0" borderId="57" xfId="0" applyNumberFormat="1" applyFont="1" applyBorder="1"/>
    <xf numFmtId="4" fontId="88" fillId="0" borderId="58" xfId="0" applyNumberFormat="1" applyFont="1" applyBorder="1"/>
    <xf numFmtId="0" fontId="88" fillId="0" borderId="70" xfId="0" applyFont="1" applyBorder="1" applyAlignment="1">
      <alignment horizontal="center"/>
    </xf>
    <xf numFmtId="0" fontId="88" fillId="0" borderId="69" xfId="0" applyFont="1" applyBorder="1" applyAlignment="1">
      <alignment horizontal="center"/>
    </xf>
    <xf numFmtId="0" fontId="88" fillId="0" borderId="67" xfId="0" applyFont="1" applyBorder="1" applyAlignment="1">
      <alignment horizontal="center"/>
    </xf>
    <xf numFmtId="0" fontId="88" fillId="0" borderId="66" xfId="0" applyFont="1" applyBorder="1" applyAlignment="1">
      <alignment horizontal="center"/>
    </xf>
    <xf numFmtId="0" fontId="16" fillId="0" borderId="22" xfId="0" applyFont="1" applyFill="1" applyBorder="1" applyAlignment="1">
      <alignment vertical="center" wrapText="1"/>
    </xf>
    <xf numFmtId="0" fontId="15" fillId="0" borderId="22" xfId="0" applyFont="1" applyFill="1" applyBorder="1" applyAlignment="1">
      <alignment vertical="center" wrapText="1"/>
    </xf>
    <xf numFmtId="0" fontId="14" fillId="0" borderId="1" xfId="0" applyFont="1" applyFill="1" applyBorder="1" applyAlignment="1">
      <alignment vertical="center" wrapText="1"/>
    </xf>
    <xf numFmtId="0" fontId="14" fillId="0" borderId="6" xfId="0" applyFont="1" applyFill="1" applyBorder="1" applyAlignment="1">
      <alignment vertical="center" wrapText="1"/>
    </xf>
    <xf numFmtId="0" fontId="0" fillId="2" borderId="1" xfId="0"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13" fillId="0" borderId="22" xfId="0" applyFont="1" applyFill="1" applyBorder="1" applyAlignment="1">
      <alignment vertical="center" wrapText="1"/>
    </xf>
    <xf numFmtId="0" fontId="12" fillId="2" borderId="1" xfId="0" applyFont="1" applyFill="1" applyBorder="1" applyAlignment="1">
      <alignment horizontal="left" vertical="center" wrapText="1"/>
    </xf>
    <xf numFmtId="0" fontId="11" fillId="0" borderId="59" xfId="0" applyFont="1" applyBorder="1" applyAlignment="1">
      <alignment vertical="center" wrapText="1"/>
    </xf>
    <xf numFmtId="0" fontId="11" fillId="0" borderId="1" xfId="0" applyFont="1" applyBorder="1" applyAlignment="1">
      <alignment horizontal="left" vertical="center"/>
    </xf>
    <xf numFmtId="0" fontId="10" fillId="0" borderId="1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2" xfId="0" applyFont="1" applyFill="1" applyBorder="1" applyAlignment="1">
      <alignment vertical="center" wrapText="1"/>
    </xf>
    <xf numFmtId="0" fontId="10" fillId="0" borderId="2" xfId="0" applyFont="1" applyFill="1" applyBorder="1" applyAlignment="1">
      <alignment horizontal="left" vertical="center" wrapText="1"/>
    </xf>
    <xf numFmtId="4" fontId="98" fillId="0" borderId="5" xfId="0" applyNumberFormat="1" applyFont="1" applyFill="1" applyBorder="1" applyAlignment="1">
      <alignment vertical="center"/>
    </xf>
    <xf numFmtId="4" fontId="98" fillId="0" borderId="41" xfId="0" applyNumberFormat="1" applyFont="1" applyFill="1" applyBorder="1" applyAlignment="1">
      <alignment vertical="center"/>
    </xf>
    <xf numFmtId="14" fontId="9" fillId="0" borderId="5" xfId="0" applyNumberFormat="1" applyFont="1" applyFill="1" applyBorder="1" applyAlignment="1">
      <alignment vertical="center" wrapText="1"/>
    </xf>
    <xf numFmtId="0" fontId="9" fillId="0" borderId="5" xfId="0" applyFont="1" applyFill="1" applyBorder="1" applyAlignment="1">
      <alignment vertical="center" wrapText="1"/>
    </xf>
    <xf numFmtId="0" fontId="0" fillId="0" borderId="4" xfId="0" applyBorder="1" applyAlignment="1">
      <alignment horizontal="left" vertical="center" wrapText="1"/>
    </xf>
    <xf numFmtId="4" fontId="0" fillId="0" borderId="6" xfId="0" applyNumberFormat="1" applyBorder="1" applyAlignment="1">
      <alignment horizontal="right" vertical="center"/>
    </xf>
    <xf numFmtId="10" fontId="81" fillId="0" borderId="24" xfId="0" applyNumberFormat="1" applyFont="1" applyBorder="1" applyAlignment="1">
      <alignment horizontal="center" vertical="center"/>
    </xf>
    <xf numFmtId="0" fontId="7" fillId="2" borderId="1" xfId="0" applyFont="1" applyFill="1" applyBorder="1" applyAlignment="1">
      <alignment horizontal="left" vertical="center" wrapText="1"/>
    </xf>
    <xf numFmtId="0" fontId="5" fillId="0" borderId="22" xfId="0" applyFont="1" applyFill="1" applyBorder="1" applyAlignment="1">
      <alignment vertical="center" wrapText="1"/>
    </xf>
    <xf numFmtId="0" fontId="4" fillId="0" borderId="22" xfId="0" applyFont="1" applyFill="1" applyBorder="1" applyAlignment="1">
      <alignment vertical="center" wrapText="1"/>
    </xf>
    <xf numFmtId="0" fontId="3" fillId="0" borderId="22"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46" xfId="0" applyFont="1" applyFill="1" applyBorder="1" applyAlignment="1">
      <alignment vertical="center" wrapText="1"/>
    </xf>
    <xf numFmtId="0" fontId="116" fillId="0" borderId="1" xfId="0" applyFont="1" applyBorder="1" applyAlignment="1">
      <alignment horizontal="left" vertical="top" wrapText="1"/>
    </xf>
    <xf numFmtId="0" fontId="107" fillId="0" borderId="1" xfId="0" applyFont="1" applyBorder="1" applyAlignment="1">
      <alignment horizontal="left" vertical="top" wrapText="1"/>
    </xf>
    <xf numFmtId="0" fontId="107" fillId="0" borderId="2" xfId="0" applyFont="1" applyBorder="1" applyAlignment="1">
      <alignment horizontal="left" vertical="top" wrapText="1"/>
    </xf>
    <xf numFmtId="0" fontId="107" fillId="0" borderId="30" xfId="0" applyFont="1" applyBorder="1" applyAlignment="1">
      <alignment horizontal="left" vertical="top" wrapText="1"/>
    </xf>
    <xf numFmtId="0" fontId="107" fillId="0" borderId="5" xfId="0" applyFont="1" applyBorder="1" applyAlignment="1">
      <alignment horizontal="left" vertical="top" wrapText="1"/>
    </xf>
    <xf numFmtId="4" fontId="107" fillId="0" borderId="2" xfId="0" applyNumberFormat="1" applyFont="1" applyFill="1" applyBorder="1" applyAlignment="1">
      <alignment horizontal="center" vertical="center" wrapText="1"/>
    </xf>
    <xf numFmtId="4" fontId="107" fillId="0" borderId="30" xfId="0" applyNumberFormat="1" applyFont="1" applyFill="1" applyBorder="1" applyAlignment="1">
      <alignment horizontal="center" vertical="center" wrapText="1"/>
    </xf>
    <xf numFmtId="4" fontId="107" fillId="0" borderId="5" xfId="0" applyNumberFormat="1" applyFont="1" applyFill="1" applyBorder="1" applyAlignment="1">
      <alignment horizontal="center" vertical="center" wrapText="1"/>
    </xf>
    <xf numFmtId="4" fontId="107" fillId="0" borderId="1" xfId="0" applyNumberFormat="1" applyFont="1" applyFill="1" applyBorder="1" applyAlignment="1">
      <alignment horizontal="left" vertical="center"/>
    </xf>
    <xf numFmtId="4" fontId="107" fillId="0" borderId="1" xfId="0" applyNumberFormat="1" applyFont="1" applyFill="1" applyBorder="1" applyAlignment="1">
      <alignment horizontal="left" vertical="center" wrapText="1"/>
    </xf>
    <xf numFmtId="0" fontId="120" fillId="18" borderId="38" xfId="0" applyFont="1" applyFill="1" applyBorder="1" applyAlignment="1">
      <alignment horizontal="center" vertical="center" wrapText="1"/>
    </xf>
    <xf numFmtId="0" fontId="120" fillId="18" borderId="30" xfId="0" applyFont="1" applyFill="1" applyBorder="1" applyAlignment="1">
      <alignment horizontal="center" vertical="center" wrapText="1"/>
    </xf>
    <xf numFmtId="0" fontId="120" fillId="18" borderId="39" xfId="0" applyFont="1" applyFill="1" applyBorder="1" applyAlignment="1">
      <alignment horizontal="center" vertical="center" wrapText="1"/>
    </xf>
    <xf numFmtId="0" fontId="116" fillId="18" borderId="36" xfId="0" applyFont="1" applyFill="1" applyBorder="1" applyAlignment="1">
      <alignment horizontal="left" vertical="center" wrapText="1"/>
    </xf>
    <xf numFmtId="0" fontId="116" fillId="18" borderId="25" xfId="0" applyFont="1" applyFill="1" applyBorder="1" applyAlignment="1">
      <alignment horizontal="left" vertical="center" wrapText="1"/>
    </xf>
    <xf numFmtId="0" fontId="120" fillId="18" borderId="1" xfId="0" applyFont="1" applyFill="1" applyBorder="1" applyAlignment="1">
      <alignment horizontal="left" vertical="center" wrapText="1"/>
    </xf>
    <xf numFmtId="0" fontId="120" fillId="18" borderId="2" xfId="0" applyFont="1" applyFill="1" applyBorder="1" applyAlignment="1">
      <alignment horizontal="left" vertical="center" wrapText="1"/>
    </xf>
    <xf numFmtId="0" fontId="120" fillId="20" borderId="22" xfId="0" applyFont="1" applyFill="1" applyBorder="1" applyAlignment="1">
      <alignment horizontal="left" vertical="center" wrapText="1"/>
    </xf>
    <xf numFmtId="4" fontId="107" fillId="0" borderId="2" xfId="0" applyNumberFormat="1" applyFont="1" applyFill="1" applyBorder="1" applyAlignment="1">
      <alignment horizontal="left" vertical="center"/>
    </xf>
    <xf numFmtId="4" fontId="107" fillId="0" borderId="30" xfId="0" applyNumberFormat="1" applyFont="1" applyFill="1" applyBorder="1" applyAlignment="1">
      <alignment horizontal="left" vertical="center"/>
    </xf>
    <xf numFmtId="4" fontId="107" fillId="0" borderId="5" xfId="0" applyNumberFormat="1" applyFont="1" applyFill="1" applyBorder="1" applyAlignment="1">
      <alignment horizontal="left" vertical="center"/>
    </xf>
    <xf numFmtId="0" fontId="88" fillId="19" borderId="0" xfId="0" applyFont="1" applyFill="1" applyBorder="1" applyAlignment="1">
      <alignment horizontal="left" wrapText="1"/>
    </xf>
    <xf numFmtId="0" fontId="116" fillId="18" borderId="2" xfId="0" applyFont="1" applyFill="1" applyBorder="1" applyAlignment="1">
      <alignment horizontal="left" vertical="center" wrapText="1"/>
    </xf>
    <xf numFmtId="0" fontId="116" fillId="18" borderId="30" xfId="0" applyFont="1" applyFill="1" applyBorder="1" applyAlignment="1">
      <alignment horizontal="left" vertical="center" wrapText="1"/>
    </xf>
    <xf numFmtId="0" fontId="116" fillId="18" borderId="5" xfId="0" applyFont="1" applyFill="1" applyBorder="1" applyAlignment="1">
      <alignment horizontal="left" vertical="center" wrapText="1"/>
    </xf>
    <xf numFmtId="4" fontId="122" fillId="0" borderId="2" xfId="0" applyNumberFormat="1" applyFont="1" applyFill="1" applyBorder="1" applyAlignment="1">
      <alignment horizontal="left" vertical="center"/>
    </xf>
    <xf numFmtId="4" fontId="122" fillId="0" borderId="30" xfId="0" applyNumberFormat="1" applyFont="1" applyFill="1" applyBorder="1" applyAlignment="1">
      <alignment horizontal="left" vertical="center"/>
    </xf>
    <xf numFmtId="4" fontId="122" fillId="0" borderId="5" xfId="0" applyNumberFormat="1" applyFont="1" applyFill="1" applyBorder="1" applyAlignment="1">
      <alignment horizontal="left" vertical="center"/>
    </xf>
    <xf numFmtId="0" fontId="126" fillId="0" borderId="0" xfId="0" applyFont="1" applyAlignment="1">
      <alignment horizontal="center" wrapText="1"/>
    </xf>
    <xf numFmtId="4" fontId="116" fillId="0" borderId="30" xfId="0" applyNumberFormat="1" applyFont="1" applyFill="1" applyBorder="1" applyAlignment="1">
      <alignment horizontal="left" vertical="center"/>
    </xf>
    <xf numFmtId="4" fontId="116" fillId="0" borderId="5" xfId="0" applyNumberFormat="1" applyFont="1" applyFill="1" applyBorder="1" applyAlignment="1">
      <alignment horizontal="left" vertical="center"/>
    </xf>
    <xf numFmtId="0" fontId="121" fillId="18" borderId="2" xfId="0" applyFont="1" applyFill="1" applyBorder="1" applyAlignment="1">
      <alignment horizontal="center" vertical="center" wrapText="1"/>
    </xf>
    <xf numFmtId="0" fontId="121" fillId="18" borderId="30" xfId="0" applyFont="1" applyFill="1" applyBorder="1" applyAlignment="1">
      <alignment horizontal="center" vertical="center" wrapText="1"/>
    </xf>
    <xf numFmtId="0" fontId="120" fillId="18" borderId="17" xfId="0" applyFont="1" applyFill="1" applyBorder="1" applyAlignment="1">
      <alignment horizontal="left" vertical="center" wrapText="1"/>
    </xf>
    <xf numFmtId="0" fontId="116" fillId="17" borderId="1" xfId="0" applyFont="1" applyFill="1" applyBorder="1" applyAlignment="1">
      <alignment horizontal="left" vertical="center" wrapText="1"/>
    </xf>
    <xf numFmtId="0" fontId="116" fillId="17" borderId="2" xfId="0" applyFont="1" applyFill="1" applyBorder="1" applyAlignment="1">
      <alignment horizontal="left" vertical="center" wrapText="1"/>
    </xf>
    <xf numFmtId="0" fontId="116" fillId="5" borderId="1" xfId="0" applyFont="1" applyFill="1" applyBorder="1" applyAlignment="1">
      <alignment horizontal="left" vertical="center" wrapText="1"/>
    </xf>
    <xf numFmtId="0" fontId="116" fillId="5" borderId="2" xfId="0" applyFont="1" applyFill="1" applyBorder="1" applyAlignment="1">
      <alignment horizontal="left" vertical="center" wrapText="1"/>
    </xf>
    <xf numFmtId="0" fontId="120" fillId="18" borderId="22" xfId="0" applyFont="1" applyFill="1" applyBorder="1" applyAlignment="1">
      <alignment horizontal="left" vertical="center" wrapText="1"/>
    </xf>
    <xf numFmtId="0" fontId="116" fillId="0" borderId="9" xfId="0" applyFont="1" applyBorder="1" applyAlignment="1">
      <alignment horizontal="left" vertical="center" wrapText="1"/>
    </xf>
    <xf numFmtId="0" fontId="116" fillId="0" borderId="35" xfId="0" applyFont="1" applyBorder="1" applyAlignment="1">
      <alignment horizontal="left" vertical="center" wrapText="1"/>
    </xf>
    <xf numFmtId="0" fontId="14" fillId="0" borderId="20" xfId="0"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4" fillId="0" borderId="20" xfId="0" applyFont="1" applyFill="1" applyBorder="1" applyAlignment="1">
      <alignment vertical="center" wrapText="1"/>
    </xf>
    <xf numFmtId="0" fontId="0" fillId="0" borderId="4" xfId="0" applyBorder="1" applyAlignment="1">
      <alignment vertical="center" wrapText="1"/>
    </xf>
    <xf numFmtId="0" fontId="0" fillId="2" borderId="20" xfId="0" applyFill="1" applyBorder="1" applyAlignment="1">
      <alignment horizontal="left" vertical="center" wrapText="1"/>
    </xf>
    <xf numFmtId="0" fontId="90" fillId="17" borderId="20" xfId="0" applyFont="1" applyFill="1" applyBorder="1" applyAlignment="1">
      <alignment vertical="center" wrapText="1"/>
    </xf>
    <xf numFmtId="0" fontId="14" fillId="0" borderId="21"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81" fillId="0" borderId="3" xfId="0" applyFont="1" applyFill="1" applyBorder="1" applyAlignment="1">
      <alignment horizontal="left" vertical="center" wrapText="1"/>
    </xf>
    <xf numFmtId="0" fontId="81" fillId="2" borderId="20" xfId="0" applyFont="1" applyFill="1" applyBorder="1" applyAlignment="1">
      <alignment horizontal="left" vertical="center" wrapText="1"/>
    </xf>
    <xf numFmtId="0" fontId="98" fillId="0" borderId="50" xfId="0" applyFont="1" applyBorder="1" applyAlignment="1">
      <alignment horizontal="left" vertical="center" wrapText="1"/>
    </xf>
    <xf numFmtId="0" fontId="98" fillId="0" borderId="15" xfId="0" applyFont="1" applyBorder="1" applyAlignment="1">
      <alignment horizontal="left" vertical="center" wrapText="1"/>
    </xf>
    <xf numFmtId="0" fontId="81" fillId="2" borderId="37" xfId="0" applyFont="1" applyFill="1" applyBorder="1" applyAlignment="1">
      <alignment horizontal="left" vertical="center" wrapText="1"/>
    </xf>
    <xf numFmtId="0" fontId="81" fillId="2" borderId="16" xfId="0" applyFont="1" applyFill="1" applyBorder="1" applyAlignment="1">
      <alignment horizontal="left" vertical="center" wrapText="1"/>
    </xf>
    <xf numFmtId="0" fontId="81" fillId="0" borderId="20" xfId="0" applyFont="1" applyFill="1" applyBorder="1" applyAlignment="1">
      <alignment horizontal="center" vertical="center" wrapText="1"/>
    </xf>
    <xf numFmtId="0" fontId="81"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1" fillId="0" borderId="20" xfId="0" applyFont="1" applyFill="1" applyBorder="1" applyAlignment="1">
      <alignment horizontal="left" vertical="center" wrapText="1"/>
    </xf>
    <xf numFmtId="0" fontId="81" fillId="0" borderId="4" xfId="0" applyFont="1" applyFill="1" applyBorder="1" applyAlignment="1">
      <alignment horizontal="left" vertical="center" wrapText="1"/>
    </xf>
    <xf numFmtId="0" fontId="81" fillId="0" borderId="4" xfId="0" applyFont="1" applyFill="1" applyBorder="1" applyAlignment="1">
      <alignment horizontal="center" vertical="center" wrapText="1"/>
    </xf>
    <xf numFmtId="0" fontId="81" fillId="0" borderId="20" xfId="0" applyFont="1" applyBorder="1" applyAlignment="1">
      <alignment horizontal="left" vertical="center"/>
    </xf>
    <xf numFmtId="0" fontId="81" fillId="0" borderId="3" xfId="0" applyFont="1" applyBorder="1" applyAlignment="1">
      <alignment horizontal="left" vertical="center"/>
    </xf>
    <xf numFmtId="0" fontId="81" fillId="0" borderId="4" xfId="0" applyFont="1" applyBorder="1" applyAlignment="1">
      <alignment horizontal="left" vertical="center"/>
    </xf>
    <xf numFmtId="0" fontId="92" fillId="0" borderId="20" xfId="8" applyFont="1" applyBorder="1" applyAlignment="1">
      <alignment horizontal="left" vertical="center" wrapText="1"/>
    </xf>
    <xf numFmtId="0" fontId="92" fillId="0" borderId="3" xfId="8" applyFont="1" applyBorder="1" applyAlignment="1">
      <alignment horizontal="left" vertical="center" wrapText="1"/>
    </xf>
    <xf numFmtId="0" fontId="92" fillId="0" borderId="4" xfId="8" applyFont="1" applyBorder="1" applyAlignment="1">
      <alignment horizontal="left" vertical="center" wrapText="1"/>
    </xf>
    <xf numFmtId="10" fontId="81" fillId="0" borderId="33" xfId="0" applyNumberFormat="1" applyFont="1" applyBorder="1" applyAlignment="1">
      <alignment horizontal="center" vertical="center"/>
    </xf>
    <xf numFmtId="10" fontId="81" fillId="0" borderId="34" xfId="0" applyNumberFormat="1" applyFont="1" applyBorder="1" applyAlignment="1">
      <alignment horizontal="center" vertical="center"/>
    </xf>
    <xf numFmtId="10" fontId="81" fillId="0" borderId="24" xfId="0" applyNumberFormat="1" applyFont="1" applyBorder="1" applyAlignment="1">
      <alignment horizontal="center" vertical="center"/>
    </xf>
    <xf numFmtId="4" fontId="81" fillId="2" borderId="33" xfId="0" applyNumberFormat="1" applyFont="1" applyFill="1" applyBorder="1" applyAlignment="1">
      <alignment horizontal="right" vertical="center"/>
    </xf>
    <xf numFmtId="0" fontId="0" fillId="0" borderId="34" xfId="0" applyBorder="1" applyAlignment="1">
      <alignment horizontal="right" vertical="center"/>
    </xf>
    <xf numFmtId="0" fontId="0" fillId="0" borderId="24" xfId="0" applyBorder="1" applyAlignment="1">
      <alignment horizontal="right" vertical="center"/>
    </xf>
    <xf numFmtId="4" fontId="99" fillId="2" borderId="50" xfId="0" applyNumberFormat="1" applyFont="1" applyFill="1" applyBorder="1" applyAlignment="1">
      <alignment horizontal="right" vertical="center"/>
    </xf>
    <xf numFmtId="0" fontId="99" fillId="0" borderId="49" xfId="0" applyFont="1" applyBorder="1" applyAlignment="1">
      <alignment horizontal="right" vertical="center"/>
    </xf>
    <xf numFmtId="0" fontId="99" fillId="0" borderId="15" xfId="0" applyFont="1" applyBorder="1" applyAlignment="1">
      <alignment horizontal="right" vertical="center"/>
    </xf>
    <xf numFmtId="4" fontId="81" fillId="0" borderId="37" xfId="0" applyNumberFormat="1" applyFont="1" applyBorder="1" applyAlignment="1">
      <alignment horizontal="right" vertical="center"/>
    </xf>
    <xf numFmtId="0" fontId="0" fillId="0" borderId="40" xfId="0" applyBorder="1" applyAlignment="1">
      <alignment horizontal="right" vertical="center"/>
    </xf>
    <xf numFmtId="0" fontId="0" fillId="0" borderId="16" xfId="0"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56" fillId="2" borderId="37" xfId="0" applyFont="1" applyFill="1" applyBorder="1" applyAlignment="1">
      <alignment horizontal="left" vertical="center" wrapText="1"/>
    </xf>
    <xf numFmtId="0" fontId="0" fillId="0" borderId="40" xfId="0" applyBorder="1" applyAlignment="1">
      <alignment horizontal="left" vertical="center" wrapText="1"/>
    </xf>
    <xf numFmtId="0" fontId="0" fillId="0" borderId="16" xfId="0" applyBorder="1" applyAlignment="1">
      <alignment horizontal="left" vertical="center" wrapText="1"/>
    </xf>
    <xf numFmtId="0" fontId="98" fillId="0" borderId="50" xfId="0" applyFont="1" applyFill="1" applyBorder="1" applyAlignment="1">
      <alignment vertical="center" wrapText="1" shrinkToFit="1"/>
    </xf>
    <xf numFmtId="0" fontId="0" fillId="0" borderId="49" xfId="0" applyBorder="1" applyAlignment="1">
      <alignment vertical="center" wrapText="1" shrinkToFit="1"/>
    </xf>
    <xf numFmtId="0" fontId="0" fillId="0" borderId="15" xfId="0" applyBorder="1" applyAlignment="1">
      <alignment vertical="center" wrapText="1" shrinkToFit="1"/>
    </xf>
    <xf numFmtId="4" fontId="112" fillId="2" borderId="50" xfId="0" applyNumberFormat="1" applyFont="1" applyFill="1" applyBorder="1" applyAlignment="1">
      <alignment horizontal="right" vertical="center"/>
    </xf>
    <xf numFmtId="0" fontId="0" fillId="0" borderId="15" xfId="0" applyBorder="1" applyAlignment="1">
      <alignment horizontal="right" vertical="center"/>
    </xf>
    <xf numFmtId="0" fontId="81" fillId="0" borderId="20" xfId="0" applyFont="1" applyFill="1" applyBorder="1" applyAlignment="1">
      <alignment vertical="center" wrapText="1"/>
    </xf>
    <xf numFmtId="0" fontId="81" fillId="0" borderId="3" xfId="0" applyFont="1" applyFill="1" applyBorder="1" applyAlignment="1">
      <alignment vertical="center" wrapText="1"/>
    </xf>
    <xf numFmtId="0" fontId="81" fillId="0" borderId="20" xfId="0" applyFont="1" applyFill="1" applyBorder="1" applyAlignment="1">
      <alignment horizontal="left" vertical="center"/>
    </xf>
    <xf numFmtId="0" fontId="81" fillId="0" borderId="4" xfId="0" applyFont="1" applyFill="1" applyBorder="1" applyAlignment="1">
      <alignment horizontal="left" vertical="center"/>
    </xf>
    <xf numFmtId="4" fontId="81" fillId="0" borderId="20" xfId="0" applyNumberFormat="1" applyFont="1" applyFill="1" applyBorder="1" applyAlignment="1">
      <alignment horizontal="right" vertical="center"/>
    </xf>
    <xf numFmtId="4" fontId="81" fillId="0" borderId="4" xfId="0" applyNumberFormat="1" applyFont="1" applyFill="1" applyBorder="1" applyAlignment="1">
      <alignment horizontal="right" vertical="center"/>
    </xf>
    <xf numFmtId="0" fontId="81" fillId="0" borderId="20" xfId="8" applyFont="1" applyBorder="1" applyAlignment="1">
      <alignment horizontal="left" vertical="center" wrapText="1"/>
    </xf>
    <xf numFmtId="0" fontId="81" fillId="0" borderId="4" xfId="8" applyFont="1" applyBorder="1" applyAlignment="1">
      <alignment horizontal="left" vertical="center" wrapText="1"/>
    </xf>
    <xf numFmtId="0" fontId="59" fillId="0" borderId="20" xfId="0" applyFont="1" applyFill="1" applyBorder="1" applyAlignment="1">
      <alignment horizontal="left" vertical="center" wrapText="1"/>
    </xf>
    <xf numFmtId="4" fontId="92" fillId="0" borderId="20" xfId="0" applyNumberFormat="1" applyFont="1" applyBorder="1" applyAlignment="1">
      <alignment horizontal="right" vertical="center"/>
    </xf>
    <xf numFmtId="4" fontId="92" fillId="0" borderId="3" xfId="0" applyNumberFormat="1" applyFont="1" applyBorder="1" applyAlignment="1">
      <alignment horizontal="right" vertical="center"/>
    </xf>
    <xf numFmtId="4" fontId="92" fillId="0" borderId="4" xfId="0" applyNumberFormat="1" applyFont="1" applyBorder="1" applyAlignment="1">
      <alignment horizontal="right" vertical="center"/>
    </xf>
    <xf numFmtId="0" fontId="0" fillId="0" borderId="3" xfId="0" applyBorder="1" applyAlignment="1">
      <alignment vertical="center" wrapText="1"/>
    </xf>
    <xf numFmtId="0" fontId="98" fillId="0" borderId="47" xfId="0" applyFont="1" applyBorder="1" applyAlignment="1">
      <alignment horizontal="left" vertical="center" wrapText="1"/>
    </xf>
    <xf numFmtId="0" fontId="98" fillId="0" borderId="49" xfId="0" applyFont="1" applyBorder="1" applyAlignment="1">
      <alignment horizontal="left" vertical="center" wrapText="1"/>
    </xf>
    <xf numFmtId="0" fontId="0" fillId="0" borderId="15" xfId="0" applyBorder="1" applyAlignment="1">
      <alignment horizontal="left" vertical="center" wrapText="1"/>
    </xf>
    <xf numFmtId="0" fontId="21" fillId="0" borderId="31" xfId="0" applyFont="1" applyBorder="1" applyAlignment="1">
      <alignment horizontal="left" vertical="center" wrapText="1"/>
    </xf>
    <xf numFmtId="0" fontId="81" fillId="0" borderId="12" xfId="0" applyFont="1" applyBorder="1" applyAlignment="1">
      <alignment horizontal="left" vertical="center" wrapText="1"/>
    </xf>
    <xf numFmtId="4" fontId="81" fillId="0" borderId="16" xfId="0" applyNumberFormat="1" applyFont="1" applyBorder="1" applyAlignment="1">
      <alignment horizontal="right" vertical="center"/>
    </xf>
    <xf numFmtId="0" fontId="64" fillId="0" borderId="37" xfId="0" applyFont="1" applyFill="1" applyBorder="1" applyAlignment="1">
      <alignment horizontal="left" vertical="center" wrapText="1"/>
    </xf>
    <xf numFmtId="0" fontId="81" fillId="0" borderId="40" xfId="0" applyFont="1" applyFill="1" applyBorder="1" applyAlignment="1">
      <alignment horizontal="left" vertical="center" wrapText="1"/>
    </xf>
    <xf numFmtId="0" fontId="81" fillId="0" borderId="16" xfId="0" applyFont="1" applyFill="1" applyBorder="1" applyAlignment="1">
      <alignment horizontal="left" vertical="center" wrapText="1"/>
    </xf>
    <xf numFmtId="0" fontId="52" fillId="2" borderId="20" xfId="0" applyFont="1" applyFill="1" applyBorder="1" applyAlignment="1">
      <alignment horizontal="left" vertical="center" wrapText="1"/>
    </xf>
    <xf numFmtId="0" fontId="52" fillId="2" borderId="4" xfId="0" applyFont="1" applyFill="1" applyBorder="1" applyAlignment="1">
      <alignment horizontal="left" vertical="center" wrapText="1"/>
    </xf>
    <xf numFmtId="0" fontId="81" fillId="0" borderId="20" xfId="0" applyFont="1" applyBorder="1" applyAlignment="1">
      <alignment horizontal="left" vertical="center" wrapText="1"/>
    </xf>
    <xf numFmtId="0" fontId="81" fillId="0" borderId="3" xfId="0" applyFont="1" applyBorder="1" applyAlignment="1">
      <alignment horizontal="left" vertical="center" wrapText="1"/>
    </xf>
    <xf numFmtId="0" fontId="98" fillId="0" borderId="50" xfId="0" applyFont="1" applyBorder="1" applyAlignment="1">
      <alignment vertical="center" wrapText="1"/>
    </xf>
    <xf numFmtId="0" fontId="98" fillId="0" borderId="15" xfId="0" applyFont="1" applyBorder="1" applyAlignment="1">
      <alignment vertical="center" wrapText="1"/>
    </xf>
    <xf numFmtId="0" fontId="0" fillId="0" borderId="34" xfId="0" applyBorder="1" applyAlignment="1"/>
    <xf numFmtId="0" fontId="0" fillId="0" borderId="24" xfId="0" applyBorder="1" applyAlignment="1"/>
    <xf numFmtId="10" fontId="81" fillId="0" borderId="42" xfId="0" applyNumberFormat="1" applyFont="1" applyBorder="1" applyAlignment="1">
      <alignment horizontal="center" vertical="center"/>
    </xf>
    <xf numFmtId="4" fontId="98" fillId="2" borderId="33" xfId="0" applyNumberFormat="1" applyFont="1" applyFill="1" applyBorder="1" applyAlignment="1">
      <alignment horizontal="right" vertical="center"/>
    </xf>
    <xf numFmtId="4" fontId="98" fillId="2" borderId="24" xfId="0" applyNumberFormat="1" applyFont="1" applyFill="1" applyBorder="1" applyAlignment="1">
      <alignment horizontal="right" vertical="center"/>
    </xf>
    <xf numFmtId="4" fontId="81" fillId="2" borderId="33" xfId="0" applyNumberFormat="1" applyFont="1" applyFill="1" applyBorder="1" applyAlignment="1">
      <alignment vertical="center"/>
    </xf>
    <xf numFmtId="4" fontId="81" fillId="2" borderId="24" xfId="0" applyNumberFormat="1" applyFont="1" applyFill="1" applyBorder="1" applyAlignment="1">
      <alignment vertical="center"/>
    </xf>
    <xf numFmtId="0" fontId="51" fillId="0" borderId="60" xfId="0" applyFont="1" applyFill="1" applyBorder="1" applyAlignment="1">
      <alignment horizontal="left" vertical="center" wrapText="1"/>
    </xf>
    <xf numFmtId="0" fontId="90" fillId="17" borderId="33" xfId="0" applyFont="1" applyFill="1" applyBorder="1" applyAlignment="1">
      <alignment horizontal="left" vertical="center" wrapText="1"/>
    </xf>
    <xf numFmtId="0" fontId="90" fillId="17" borderId="24" xfId="0" applyFont="1" applyFill="1" applyBorder="1" applyAlignment="1">
      <alignment horizontal="left" vertical="center" wrapText="1"/>
    </xf>
    <xf numFmtId="0" fontId="90" fillId="17" borderId="33" xfId="0" applyFont="1" applyFill="1" applyBorder="1" applyAlignment="1">
      <alignment vertical="center" wrapText="1"/>
    </xf>
    <xf numFmtId="0" fontId="90" fillId="17" borderId="34" xfId="0" applyFont="1" applyFill="1" applyBorder="1" applyAlignment="1">
      <alignment vertical="center" wrapText="1"/>
    </xf>
    <xf numFmtId="0" fontId="88" fillId="17" borderId="38" xfId="0" applyFont="1" applyFill="1" applyBorder="1" applyAlignment="1">
      <alignment horizontal="center" vertical="center" wrapText="1"/>
    </xf>
    <xf numFmtId="0" fontId="88" fillId="17" borderId="30" xfId="0" applyFont="1" applyFill="1" applyBorder="1" applyAlignment="1">
      <alignment horizontal="center" vertical="center" wrapText="1"/>
    </xf>
    <xf numFmtId="0" fontId="88" fillId="17" borderId="39" xfId="0" applyFont="1" applyFill="1" applyBorder="1" applyAlignment="1">
      <alignment horizontal="center" vertical="center" wrapText="1"/>
    </xf>
    <xf numFmtId="0" fontId="90" fillId="17" borderId="22" xfId="0" applyFont="1" applyFill="1" applyBorder="1" applyAlignment="1">
      <alignment vertical="center" wrapText="1"/>
    </xf>
    <xf numFmtId="0" fontId="90" fillId="17" borderId="2" xfId="0" applyFont="1" applyFill="1" applyBorder="1" applyAlignment="1">
      <alignment vertical="center" wrapText="1"/>
    </xf>
    <xf numFmtId="0" fontId="90" fillId="17" borderId="7" xfId="0" applyFont="1" applyFill="1" applyBorder="1" applyAlignment="1">
      <alignment vertical="center" wrapText="1"/>
    </xf>
    <xf numFmtId="0" fontId="90" fillId="17" borderId="1" xfId="0" applyFont="1" applyFill="1" applyBorder="1" applyAlignment="1">
      <alignment vertical="center" wrapText="1"/>
    </xf>
    <xf numFmtId="0" fontId="90" fillId="17" borderId="50" xfId="0" applyFont="1" applyFill="1" applyBorder="1" applyAlignment="1">
      <alignment vertical="center" wrapText="1"/>
    </xf>
    <xf numFmtId="0" fontId="90" fillId="17" borderId="49" xfId="0" applyFont="1" applyFill="1" applyBorder="1" applyAlignment="1">
      <alignmen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9"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0" fillId="0" borderId="20" xfId="0" applyBorder="1" applyAlignment="1">
      <alignment horizontal="left" vertical="center" wrapText="1"/>
    </xf>
    <xf numFmtId="0" fontId="90" fillId="17" borderId="20" xfId="0" applyFont="1" applyFill="1" applyBorder="1" applyAlignment="1">
      <alignment horizontal="center" vertical="center" textRotation="90" wrapText="1"/>
    </xf>
    <xf numFmtId="0" fontId="90" fillId="17" borderId="4" xfId="0" applyFont="1" applyFill="1" applyBorder="1" applyAlignment="1">
      <alignment horizontal="center" vertical="center" textRotation="90" wrapText="1"/>
    </xf>
    <xf numFmtId="0" fontId="115" fillId="17" borderId="1" xfId="0" applyFont="1" applyFill="1" applyBorder="1" applyAlignment="1">
      <alignment vertical="center" wrapText="1"/>
    </xf>
    <xf numFmtId="0" fontId="115" fillId="17" borderId="20" xfId="0" applyFont="1" applyFill="1" applyBorder="1" applyAlignment="1">
      <alignment vertical="center" wrapText="1"/>
    </xf>
    <xf numFmtId="0" fontId="81" fillId="0" borderId="3" xfId="8" applyFont="1" applyBorder="1" applyAlignment="1">
      <alignment horizontal="left" vertical="center" wrapText="1"/>
    </xf>
    <xf numFmtId="0" fontId="0" fillId="0" borderId="4" xfId="0" applyBorder="1" applyAlignment="1">
      <alignment horizontal="left" vertical="center"/>
    </xf>
    <xf numFmtId="4" fontId="81" fillId="0" borderId="20" xfId="0" applyNumberFormat="1" applyFont="1" applyBorder="1" applyAlignment="1">
      <alignment horizontal="right" vertical="center"/>
    </xf>
    <xf numFmtId="4" fontId="81" fillId="0" borderId="3" xfId="0" applyNumberFormat="1" applyFont="1" applyBorder="1" applyAlignment="1">
      <alignment horizontal="right" vertical="center"/>
    </xf>
    <xf numFmtId="0" fontId="0" fillId="0" borderId="4" xfId="0" applyBorder="1" applyAlignment="1">
      <alignment horizontal="right" vertical="center"/>
    </xf>
    <xf numFmtId="0" fontId="73" fillId="0" borderId="20" xfId="0" applyFont="1" applyFill="1" applyBorder="1" applyAlignment="1">
      <alignment vertical="center" wrapText="1"/>
    </xf>
    <xf numFmtId="0" fontId="73" fillId="0" borderId="20" xfId="0" applyFont="1" applyFill="1" applyBorder="1" applyAlignment="1">
      <alignment horizontal="center" vertical="center" wrapText="1"/>
    </xf>
    <xf numFmtId="0" fontId="88" fillId="2" borderId="27" xfId="0" applyFont="1" applyFill="1" applyBorder="1" applyAlignment="1">
      <alignment horizontal="left" vertical="center" wrapText="1"/>
    </xf>
    <xf numFmtId="0" fontId="88" fillId="2" borderId="46" xfId="0" applyFont="1" applyFill="1" applyBorder="1" applyAlignment="1">
      <alignment horizontal="left" vertical="center" wrapText="1"/>
    </xf>
    <xf numFmtId="0" fontId="81" fillId="0" borderId="37" xfId="0" applyFont="1" applyFill="1" applyBorder="1" applyAlignment="1">
      <alignment horizontal="left" vertical="center" wrapText="1"/>
    </xf>
    <xf numFmtId="0" fontId="98" fillId="2" borderId="37" xfId="0" applyFont="1" applyFill="1" applyBorder="1" applyAlignment="1">
      <alignment horizontal="left" vertical="center" wrapText="1"/>
    </xf>
    <xf numFmtId="0" fontId="98" fillId="0" borderId="16" xfId="0" applyFont="1" applyBorder="1" applyAlignment="1">
      <alignment horizontal="left" vertical="center" wrapText="1"/>
    </xf>
    <xf numFmtId="0" fontId="25" fillId="0" borderId="20" xfId="0" applyFont="1" applyFill="1" applyBorder="1" applyAlignment="1">
      <alignment horizontal="left" vertical="center" wrapText="1"/>
    </xf>
    <xf numFmtId="0" fontId="72" fillId="0" borderId="20" xfId="8" applyFont="1" applyBorder="1" applyAlignment="1">
      <alignment horizontal="left" vertical="center" wrapText="1"/>
    </xf>
    <xf numFmtId="0" fontId="88"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0" fillId="0" borderId="20" xfId="0" applyBorder="1" applyAlignment="1">
      <alignment horizontal="center" vertical="center" wrapText="1"/>
    </xf>
    <xf numFmtId="0" fontId="102" fillId="0" borderId="27" xfId="0" applyFont="1" applyFill="1" applyBorder="1" applyAlignment="1">
      <alignment horizontal="left" vertical="center" wrapText="1"/>
    </xf>
    <xf numFmtId="0" fontId="0" fillId="0" borderId="20" xfId="0" applyBorder="1" applyAlignment="1">
      <alignment vertical="center" wrapText="1"/>
    </xf>
    <xf numFmtId="164" fontId="57" fillId="2" borderId="20" xfId="0" applyNumberFormat="1" applyFont="1" applyFill="1" applyBorder="1" applyAlignment="1">
      <alignment vertical="center" wrapText="1"/>
    </xf>
    <xf numFmtId="164" fontId="57" fillId="2" borderId="3" xfId="0" applyNumberFormat="1" applyFont="1" applyFill="1" applyBorder="1" applyAlignment="1">
      <alignment vertical="center" wrapText="1"/>
    </xf>
    <xf numFmtId="164" fontId="57" fillId="2" borderId="4" xfId="0" applyNumberFormat="1" applyFont="1" applyFill="1" applyBorder="1" applyAlignment="1">
      <alignment vertical="center" wrapText="1"/>
    </xf>
    <xf numFmtId="0" fontId="81" fillId="0" borderId="1" xfId="0" applyFont="1" applyFill="1" applyBorder="1" applyAlignment="1">
      <alignment horizontal="center" vertical="center" wrapText="1"/>
    </xf>
    <xf numFmtId="0" fontId="81" fillId="0" borderId="1" xfId="0" applyFont="1" applyBorder="1" applyAlignment="1">
      <alignment horizontal="left" vertical="center"/>
    </xf>
    <xf numFmtId="0" fontId="75" fillId="0" borderId="20" xfId="0" applyFont="1" applyBorder="1" applyAlignment="1">
      <alignment horizontal="left" vertical="center"/>
    </xf>
    <xf numFmtId="0" fontId="75" fillId="0" borderId="4" xfId="0" applyFont="1" applyBorder="1" applyAlignment="1">
      <alignment horizontal="left" vertical="center"/>
    </xf>
    <xf numFmtId="0" fontId="75" fillId="0" borderId="20" xfId="0" applyFont="1" applyFill="1" applyBorder="1" applyAlignment="1">
      <alignment horizontal="left" vertical="center" wrapText="1"/>
    </xf>
    <xf numFmtId="0" fontId="75" fillId="0" borderId="4" xfId="0" applyFont="1" applyFill="1" applyBorder="1" applyAlignment="1">
      <alignment horizontal="left" vertical="center" wrapText="1"/>
    </xf>
    <xf numFmtId="0" fontId="92" fillId="0" borderId="20" xfId="0" applyFont="1" applyBorder="1" applyAlignment="1">
      <alignment horizontal="left" vertical="center" wrapText="1"/>
    </xf>
    <xf numFmtId="0" fontId="92" fillId="0" borderId="4" xfId="0" applyFont="1" applyBorder="1" applyAlignment="1">
      <alignment horizontal="left" vertical="center" wrapText="1"/>
    </xf>
    <xf numFmtId="0" fontId="74" fillId="0" borderId="20" xfId="0" applyFont="1" applyFill="1" applyBorder="1" applyAlignment="1">
      <alignment horizontal="center" vertical="center" wrapText="1"/>
    </xf>
    <xf numFmtId="0" fontId="74" fillId="0" borderId="20" xfId="0" applyFont="1" applyFill="1" applyBorder="1" applyAlignment="1">
      <alignment horizontal="left" vertical="center" wrapText="1"/>
    </xf>
    <xf numFmtId="0" fontId="92" fillId="0" borderId="20" xfId="8" applyFont="1" applyFill="1" applyBorder="1" applyAlignment="1">
      <alignment horizontal="left" vertical="center" wrapText="1"/>
    </xf>
    <xf numFmtId="0" fontId="110" fillId="0" borderId="20" xfId="9" applyFont="1" applyBorder="1" applyAlignment="1">
      <alignment horizontal="left" vertical="center" wrapText="1"/>
    </xf>
    <xf numFmtId="4" fontId="92" fillId="0" borderId="20" xfId="0" applyNumberFormat="1" applyFont="1" applyFill="1" applyBorder="1" applyAlignment="1">
      <alignment horizontal="right" vertical="center"/>
    </xf>
    <xf numFmtId="0" fontId="0" fillId="0" borderId="3" xfId="0" applyBorder="1" applyAlignment="1">
      <alignment horizontal="right" vertical="center"/>
    </xf>
    <xf numFmtId="0" fontId="75" fillId="0" borderId="3" xfId="0" applyFont="1" applyFill="1" applyBorder="1" applyAlignment="1">
      <alignment horizontal="left" vertical="center" wrapText="1"/>
    </xf>
    <xf numFmtId="0" fontId="92" fillId="0" borderId="20" xfId="9" applyFont="1" applyBorder="1" applyAlignment="1">
      <alignment vertical="center" wrapText="1"/>
    </xf>
    <xf numFmtId="0" fontId="98" fillId="0" borderId="20" xfId="0" applyFont="1" applyFill="1" applyBorder="1" applyAlignment="1">
      <alignment horizontal="left" vertical="center" wrapText="1"/>
    </xf>
    <xf numFmtId="0" fontId="81" fillId="0" borderId="1" xfId="0" applyFont="1" applyFill="1" applyBorder="1" applyAlignment="1">
      <alignment horizontal="left" vertical="center" wrapText="1"/>
    </xf>
    <xf numFmtId="0" fontId="81" fillId="0" borderId="1" xfId="0" applyFont="1" applyBorder="1" applyAlignment="1">
      <alignment horizontal="left" vertical="center" wrapText="1"/>
    </xf>
    <xf numFmtId="0" fontId="44" fillId="0" borderId="1" xfId="0" applyFont="1" applyFill="1" applyBorder="1" applyAlignment="1">
      <alignment horizontal="left" vertical="center" wrapText="1"/>
    </xf>
    <xf numFmtId="0" fontId="14" fillId="0" borderId="3" xfId="0" applyFont="1" applyFill="1" applyBorder="1" applyAlignment="1">
      <alignment vertical="center" wrapText="1"/>
    </xf>
    <xf numFmtId="0" fontId="92" fillId="0" borderId="20" xfId="9" applyFont="1" applyBorder="1" applyAlignment="1">
      <alignment horizontal="left" vertical="center" wrapText="1"/>
    </xf>
    <xf numFmtId="0" fontId="92" fillId="0" borderId="3" xfId="9" applyFont="1" applyBorder="1" applyAlignment="1">
      <alignment horizontal="left" vertical="center" wrapText="1"/>
    </xf>
    <xf numFmtId="0" fontId="110" fillId="0" borderId="3" xfId="9" applyFont="1" applyBorder="1" applyAlignment="1">
      <alignment horizontal="left" vertical="center" wrapText="1"/>
    </xf>
    <xf numFmtId="4" fontId="92" fillId="0" borderId="3" xfId="0" applyNumberFormat="1" applyFont="1" applyFill="1" applyBorder="1" applyAlignment="1">
      <alignment horizontal="right" vertical="center"/>
    </xf>
    <xf numFmtId="0" fontId="0" fillId="0" borderId="3" xfId="0" applyBorder="1" applyAlignment="1"/>
    <xf numFmtId="0" fontId="0" fillId="0" borderId="4" xfId="0" applyBorder="1" applyAlignment="1"/>
    <xf numFmtId="0" fontId="74" fillId="2" borderId="20" xfId="0" applyFont="1" applyFill="1" applyBorder="1" applyAlignment="1">
      <alignment horizontal="left" vertical="center" wrapText="1"/>
    </xf>
    <xf numFmtId="0" fontId="75" fillId="2" borderId="3" xfId="0" applyFont="1" applyFill="1" applyBorder="1" applyAlignment="1">
      <alignment horizontal="left" vertical="center" wrapText="1"/>
    </xf>
    <xf numFmtId="0" fontId="98" fillId="0" borderId="1" xfId="9" applyFont="1" applyBorder="1" applyAlignment="1">
      <alignment horizontal="left" vertical="center" wrapText="1"/>
    </xf>
    <xf numFmtId="0" fontId="0" fillId="0" borderId="1" xfId="0" applyBorder="1" applyAlignment="1">
      <alignment horizontal="left" vertical="center" wrapText="1"/>
    </xf>
    <xf numFmtId="4" fontId="81" fillId="0" borderId="3" xfId="0" applyNumberFormat="1" applyFont="1" applyFill="1" applyBorder="1" applyAlignment="1">
      <alignment horizontal="right" vertical="center"/>
    </xf>
    <xf numFmtId="0" fontId="98" fillId="0" borderId="3" xfId="0" applyFont="1" applyFill="1" applyBorder="1" applyAlignment="1">
      <alignment horizontal="left" vertical="center" wrapText="1"/>
    </xf>
    <xf numFmtId="0" fontId="98" fillId="0" borderId="1" xfId="0" applyFont="1" applyFill="1" applyBorder="1" applyAlignment="1">
      <alignment horizontal="left" vertical="center" wrapText="1"/>
    </xf>
    <xf numFmtId="4" fontId="26" fillId="0" borderId="20" xfId="0" applyNumberFormat="1" applyFont="1" applyFill="1" applyBorder="1" applyAlignment="1">
      <alignment horizontal="center" vertical="center"/>
    </xf>
    <xf numFmtId="0" fontId="0" fillId="0" borderId="4" xfId="0" applyBorder="1" applyAlignment="1">
      <alignment horizontal="center" vertical="center"/>
    </xf>
    <xf numFmtId="4" fontId="98" fillId="0" borderId="20" xfId="0" applyNumberFormat="1" applyFont="1" applyBorder="1" applyAlignment="1">
      <alignment horizontal="center" vertical="center" wrapText="1"/>
    </xf>
    <xf numFmtId="0" fontId="98" fillId="0" borderId="3" xfId="0" applyFont="1" applyBorder="1" applyAlignment="1">
      <alignment horizontal="center" vertical="center"/>
    </xf>
    <xf numFmtId="0" fontId="98" fillId="0" borderId="4" xfId="0" applyFont="1" applyBorder="1" applyAlignment="1">
      <alignment horizontal="center" vertical="center"/>
    </xf>
    <xf numFmtId="4" fontId="25" fillId="0" borderId="20" xfId="0" applyNumberFormat="1" applyFont="1" applyFill="1" applyBorder="1" applyAlignment="1">
      <alignment horizontal="center" vertical="center"/>
    </xf>
    <xf numFmtId="4" fontId="98" fillId="0" borderId="20" xfId="0" applyNumberFormat="1" applyFont="1" applyFill="1" applyBorder="1" applyAlignment="1">
      <alignment horizontal="center" vertical="center"/>
    </xf>
    <xf numFmtId="4" fontId="98" fillId="0" borderId="3" xfId="0" applyNumberFormat="1" applyFont="1" applyFill="1" applyBorder="1" applyAlignment="1">
      <alignment horizontal="center" vertical="center"/>
    </xf>
    <xf numFmtId="0" fontId="70" fillId="2" borderId="20" xfId="0" applyFont="1" applyFill="1" applyBorder="1" applyAlignment="1">
      <alignment horizontal="left" vertical="center" wrapText="1"/>
    </xf>
    <xf numFmtId="0" fontId="81" fillId="2" borderId="40" xfId="0" applyFont="1" applyFill="1" applyBorder="1" applyAlignment="1">
      <alignment horizontal="left" vertical="center" wrapText="1"/>
    </xf>
    <xf numFmtId="0" fontId="81" fillId="0" borderId="21" xfId="0" applyFont="1" applyFill="1" applyBorder="1" applyAlignment="1">
      <alignment horizontal="left" vertical="center" wrapText="1"/>
    </xf>
    <xf numFmtId="0" fontId="81" fillId="0" borderId="21" xfId="0" applyFont="1" applyFill="1" applyBorder="1" applyAlignment="1">
      <alignment horizontal="center" vertical="center" wrapText="1"/>
    </xf>
    <xf numFmtId="0" fontId="77" fillId="0" borderId="21" xfId="0" applyFont="1" applyFill="1" applyBorder="1" applyAlignment="1">
      <alignment horizontal="left" vertical="center" wrapText="1"/>
    </xf>
    <xf numFmtId="0" fontId="30" fillId="0" borderId="20" xfId="8" applyFont="1" applyBorder="1" applyAlignment="1">
      <alignment horizontal="left" vertical="center" wrapText="1"/>
    </xf>
    <xf numFmtId="0" fontId="81" fillId="0" borderId="3" xfId="0" applyFont="1" applyFill="1" applyBorder="1" applyAlignment="1">
      <alignment horizontal="left" vertical="center"/>
    </xf>
    <xf numFmtId="0" fontId="0" fillId="0" borderId="3" xfId="0" applyBorder="1" applyAlignment="1">
      <alignment horizontal="left" vertical="center"/>
    </xf>
    <xf numFmtId="4" fontId="81" fillId="0" borderId="20" xfId="0" applyNumberFormat="1" applyFont="1" applyFill="1" applyBorder="1" applyAlignment="1">
      <alignment horizontal="right" vertical="center" wrapText="1"/>
    </xf>
    <xf numFmtId="4" fontId="81" fillId="0" borderId="3" xfId="0" applyNumberFormat="1" applyFont="1" applyFill="1" applyBorder="1" applyAlignment="1">
      <alignment horizontal="right" vertical="center" wrapText="1"/>
    </xf>
    <xf numFmtId="4" fontId="81" fillId="0" borderId="4" xfId="0" applyNumberFormat="1" applyFont="1" applyFill="1" applyBorder="1" applyAlignment="1">
      <alignment horizontal="right" vertical="center" wrapText="1"/>
    </xf>
    <xf numFmtId="0" fontId="76" fillId="2" borderId="37" xfId="0" applyFont="1" applyFill="1" applyBorder="1" applyAlignment="1">
      <alignment horizontal="left" vertical="center" wrapText="1"/>
    </xf>
    <xf numFmtId="0" fontId="0" fillId="0" borderId="3" xfId="0" applyBorder="1" applyAlignment="1">
      <alignment horizontal="center" vertical="center"/>
    </xf>
    <xf numFmtId="4" fontId="27" fillId="0" borderId="21" xfId="0" applyNumberFormat="1" applyFont="1" applyFill="1" applyBorder="1" applyAlignment="1">
      <alignment horizontal="center" vertical="center"/>
    </xf>
    <xf numFmtId="4" fontId="27" fillId="0" borderId="20" xfId="0" applyNumberFormat="1" applyFont="1" applyBorder="1" applyAlignment="1">
      <alignment horizontal="center" vertical="center"/>
    </xf>
    <xf numFmtId="0" fontId="81" fillId="0" borderId="21" xfId="8" applyFont="1" applyBorder="1" applyAlignment="1">
      <alignment horizontal="left" vertical="center" wrapText="1"/>
    </xf>
    <xf numFmtId="0" fontId="81" fillId="0" borderId="21" xfId="0" applyFont="1" applyBorder="1" applyAlignment="1">
      <alignment horizontal="left" vertical="center"/>
    </xf>
    <xf numFmtId="4" fontId="81" fillId="0" borderId="21" xfId="0" applyNumberFormat="1" applyFont="1" applyFill="1" applyBorder="1" applyAlignment="1">
      <alignment horizontal="right" vertical="center"/>
    </xf>
    <xf numFmtId="0" fontId="81" fillId="2" borderId="1" xfId="0" applyFont="1" applyFill="1" applyBorder="1" applyAlignment="1">
      <alignment horizontal="left" vertical="center" wrapText="1"/>
    </xf>
    <xf numFmtId="0" fontId="78" fillId="2" borderId="37" xfId="0" applyFont="1" applyFill="1" applyBorder="1" applyAlignment="1">
      <alignment horizontal="left" vertical="center" wrapText="1"/>
    </xf>
    <xf numFmtId="0" fontId="78" fillId="2" borderId="16" xfId="0" applyFont="1" applyFill="1" applyBorder="1" applyAlignment="1">
      <alignment horizontal="left" vertical="center" wrapText="1"/>
    </xf>
    <xf numFmtId="0" fontId="81" fillId="2" borderId="21" xfId="0" applyFont="1" applyFill="1" applyBorder="1" applyAlignment="1">
      <alignment horizontal="left" vertical="center" wrapText="1"/>
    </xf>
    <xf numFmtId="0" fontId="81" fillId="2" borderId="3" xfId="0" applyFont="1" applyFill="1" applyBorder="1" applyAlignment="1">
      <alignment horizontal="left" vertical="center" wrapText="1"/>
    </xf>
    <xf numFmtId="4" fontId="81" fillId="0" borderId="37" xfId="0" applyNumberFormat="1" applyFont="1" applyBorder="1" applyAlignment="1">
      <alignment vertical="center"/>
    </xf>
    <xf numFmtId="0" fontId="0" fillId="0" borderId="16" xfId="0" applyBorder="1" applyAlignment="1">
      <alignment vertical="center"/>
    </xf>
    <xf numFmtId="0" fontId="98" fillId="0" borderId="20" xfId="0" applyFont="1" applyBorder="1" applyAlignment="1">
      <alignment horizontal="left" vertical="center" wrapText="1"/>
    </xf>
    <xf numFmtId="0" fontId="0" fillId="0" borderId="3" xfId="0" applyBorder="1"/>
    <xf numFmtId="0" fontId="0" fillId="0" borderId="4" xfId="0" applyBorder="1"/>
    <xf numFmtId="4" fontId="26" fillId="0" borderId="20" xfId="0" applyNumberFormat="1" applyFont="1" applyFill="1" applyBorder="1" applyAlignment="1">
      <alignment horizontal="center" vertical="center" wrapText="1"/>
    </xf>
    <xf numFmtId="4" fontId="26" fillId="0" borderId="3" xfId="0" applyNumberFormat="1" applyFont="1" applyFill="1" applyBorder="1" applyAlignment="1">
      <alignment horizontal="center" vertical="center" wrapText="1"/>
    </xf>
    <xf numFmtId="0" fontId="98" fillId="0" borderId="50" xfId="9" applyFont="1" applyBorder="1" applyAlignment="1">
      <alignment horizontal="left" vertical="center" wrapText="1"/>
    </xf>
    <xf numFmtId="4" fontId="98" fillId="0" borderId="37" xfId="0" applyNumberFormat="1" applyFont="1" applyBorder="1" applyAlignment="1">
      <alignment horizontal="right" vertical="center"/>
    </xf>
    <xf numFmtId="0" fontId="63" fillId="2" borderId="37" xfId="0" applyFont="1" applyFill="1" applyBorder="1" applyAlignment="1">
      <alignment horizontal="left" vertical="center" wrapText="1"/>
    </xf>
    <xf numFmtId="0" fontId="0" fillId="0" borderId="20" xfId="0" applyFill="1" applyBorder="1" applyAlignment="1">
      <alignment horizontal="left" vertical="center" wrapText="1"/>
    </xf>
    <xf numFmtId="0" fontId="98" fillId="2" borderId="16" xfId="0" applyFont="1" applyFill="1" applyBorder="1" applyAlignment="1">
      <alignment horizontal="left" vertical="center" wrapText="1"/>
    </xf>
    <xf numFmtId="0" fontId="98" fillId="2" borderId="40" xfId="0" applyFont="1" applyFill="1" applyBorder="1" applyAlignment="1">
      <alignment horizontal="left" vertical="center" wrapText="1"/>
    </xf>
    <xf numFmtId="0" fontId="98"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17" fillId="0" borderId="50" xfId="0" applyFont="1" applyBorder="1" applyAlignment="1">
      <alignment vertical="center" wrapText="1"/>
    </xf>
    <xf numFmtId="0" fontId="0" fillId="0" borderId="15" xfId="0" applyBorder="1" applyAlignment="1">
      <alignment vertical="center" wrapText="1"/>
    </xf>
    <xf numFmtId="164" fontId="24" fillId="2" borderId="20" xfId="0" applyNumberFormat="1" applyFont="1" applyFill="1" applyBorder="1" applyAlignment="1">
      <alignment horizontal="center" vertical="center" wrapText="1"/>
    </xf>
    <xf numFmtId="0" fontId="98" fillId="0" borderId="4" xfId="0" applyFont="1" applyFill="1" applyBorder="1" applyAlignment="1">
      <alignment horizontal="left" vertical="center" wrapText="1"/>
    </xf>
    <xf numFmtId="4" fontId="26" fillId="0" borderId="3" xfId="0" applyNumberFormat="1" applyFont="1" applyFill="1" applyBorder="1" applyAlignment="1">
      <alignment horizontal="center" vertical="center"/>
    </xf>
    <xf numFmtId="4" fontId="24" fillId="0" borderId="20" xfId="0" applyNumberFormat="1" applyFont="1" applyFill="1" applyBorder="1" applyAlignment="1">
      <alignment horizontal="center" vertical="center"/>
    </xf>
    <xf numFmtId="0" fontId="31" fillId="2" borderId="20" xfId="0" applyFont="1" applyFill="1" applyBorder="1" applyAlignment="1">
      <alignment horizontal="left" vertical="center" wrapText="1"/>
    </xf>
    <xf numFmtId="0" fontId="6" fillId="0" borderId="50" xfId="0" applyFont="1" applyBorder="1" applyAlignment="1">
      <alignment vertical="center" wrapText="1"/>
    </xf>
    <xf numFmtId="4" fontId="102" fillId="2" borderId="50" xfId="0" applyNumberFormat="1" applyFont="1" applyFill="1" applyBorder="1" applyAlignment="1">
      <alignment horizontal="right" vertical="center"/>
    </xf>
    <xf numFmtId="4" fontId="81" fillId="2" borderId="37" xfId="0" applyNumberFormat="1" applyFont="1" applyFill="1" applyBorder="1" applyAlignment="1">
      <alignment horizontal="right" vertical="center"/>
    </xf>
    <xf numFmtId="0" fontId="90" fillId="5" borderId="21" xfId="0" applyFont="1" applyFill="1" applyBorder="1" applyAlignment="1">
      <alignment horizontal="left" vertical="center" wrapText="1"/>
    </xf>
    <xf numFmtId="0" fontId="14" fillId="0" borderId="20" xfId="0" applyFont="1" applyFill="1" applyBorder="1" applyAlignment="1">
      <alignment horizontal="center" vertical="center" wrapText="1"/>
    </xf>
    <xf numFmtId="0" fontId="98" fillId="0" borderId="20" xfId="0" applyFont="1" applyFill="1" applyBorder="1" applyAlignment="1">
      <alignment horizontal="center" vertical="center" wrapText="1"/>
    </xf>
    <xf numFmtId="0" fontId="98" fillId="0" borderId="4" xfId="0" applyFont="1" applyFill="1" applyBorder="1" applyAlignment="1">
      <alignment horizontal="center" vertical="center" wrapText="1"/>
    </xf>
    <xf numFmtId="0" fontId="90" fillId="5" borderId="4" xfId="0" applyFont="1" applyFill="1" applyBorder="1" applyAlignment="1">
      <alignment horizontal="left" vertical="center" wrapText="1"/>
    </xf>
    <xf numFmtId="0" fontId="23" fillId="0" borderId="21" xfId="5" applyFont="1" applyBorder="1" applyAlignment="1">
      <alignment horizontal="left" vertical="center" wrapText="1"/>
    </xf>
    <xf numFmtId="0" fontId="23" fillId="0" borderId="3" xfId="5" applyFont="1" applyBorder="1" applyAlignment="1">
      <alignment horizontal="left" vertical="center" wrapText="1"/>
    </xf>
    <xf numFmtId="0" fontId="23" fillId="0" borderId="4" xfId="5" applyFont="1" applyBorder="1" applyAlignment="1">
      <alignment horizontal="left" vertical="center" wrapText="1"/>
    </xf>
    <xf numFmtId="4" fontId="134" fillId="5" borderId="21" xfId="0" applyNumberFormat="1" applyFont="1" applyFill="1" applyBorder="1" applyAlignment="1">
      <alignment horizontal="center" vertical="center" wrapText="1"/>
    </xf>
    <xf numFmtId="4" fontId="134" fillId="5" borderId="4" xfId="0" applyNumberFormat="1" applyFont="1" applyFill="1" applyBorder="1" applyAlignment="1">
      <alignment horizontal="center" vertical="center" wrapText="1"/>
    </xf>
    <xf numFmtId="0" fontId="14" fillId="0" borderId="20" xfId="5" applyFont="1" applyFill="1" applyBorder="1" applyAlignment="1">
      <alignment horizontal="left" vertical="center" wrapText="1"/>
    </xf>
    <xf numFmtId="4" fontId="90" fillId="5" borderId="21" xfId="0" applyNumberFormat="1" applyFont="1" applyFill="1" applyBorder="1" applyAlignment="1">
      <alignment horizontal="left" vertical="center" wrapText="1"/>
    </xf>
    <xf numFmtId="4" fontId="90" fillId="5" borderId="4" xfId="0" applyNumberFormat="1" applyFont="1" applyFill="1" applyBorder="1" applyAlignment="1">
      <alignment horizontal="left" vertical="center" wrapText="1"/>
    </xf>
    <xf numFmtId="4" fontId="23" fillId="0" borderId="20" xfId="0" applyNumberFormat="1" applyFont="1" applyBorder="1" applyAlignment="1">
      <alignment horizontal="right" vertical="center"/>
    </xf>
    <xf numFmtId="4" fontId="23" fillId="0" borderId="3" xfId="0" applyNumberFormat="1" applyFont="1" applyBorder="1" applyAlignment="1">
      <alignment horizontal="right" vertical="center"/>
    </xf>
    <xf numFmtId="4" fontId="23" fillId="0" borderId="4" xfId="0" applyNumberFormat="1" applyFont="1" applyBorder="1" applyAlignment="1">
      <alignment horizontal="right" vertical="center"/>
    </xf>
    <xf numFmtId="0" fontId="23" fillId="0" borderId="2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4" fontId="92" fillId="0" borderId="4" xfId="0" applyNumberFormat="1" applyFont="1" applyFill="1" applyBorder="1" applyAlignment="1">
      <alignment horizontal="right" vertical="center"/>
    </xf>
    <xf numFmtId="10" fontId="23" fillId="0" borderId="33" xfId="0" applyNumberFormat="1" applyFont="1" applyFill="1" applyBorder="1" applyAlignment="1">
      <alignment horizontal="center" vertical="center"/>
    </xf>
    <xf numFmtId="10" fontId="23" fillId="0" borderId="24" xfId="0" applyNumberFormat="1" applyFont="1" applyFill="1" applyBorder="1" applyAlignment="1">
      <alignment horizontal="center" vertical="center"/>
    </xf>
    <xf numFmtId="0" fontId="98" fillId="0" borderId="3" xfId="0" applyFont="1" applyFill="1" applyBorder="1" applyAlignment="1">
      <alignment horizontal="center" vertical="center" wrapText="1"/>
    </xf>
    <xf numFmtId="0" fontId="88" fillId="2" borderId="35" xfId="0" applyFont="1" applyFill="1" applyBorder="1" applyAlignment="1">
      <alignment horizontal="left" vertical="center" wrapText="1"/>
    </xf>
    <xf numFmtId="0" fontId="88" fillId="2" borderId="63" xfId="0" applyFont="1" applyFill="1" applyBorder="1" applyAlignment="1">
      <alignment horizontal="left" vertical="center" wrapText="1"/>
    </xf>
    <xf numFmtId="0" fontId="88" fillId="19" borderId="0" xfId="0" applyFont="1" applyFill="1" applyBorder="1" applyAlignment="1">
      <alignment horizontal="left"/>
    </xf>
    <xf numFmtId="10" fontId="23" fillId="0" borderId="34" xfId="0" applyNumberFormat="1" applyFont="1" applyFill="1" applyBorder="1" applyAlignment="1">
      <alignment horizontal="center" vertical="center"/>
    </xf>
    <xf numFmtId="10" fontId="98" fillId="0" borderId="33" xfId="0" applyNumberFormat="1" applyFont="1" applyFill="1" applyBorder="1" applyAlignment="1">
      <alignment horizontal="center" vertical="center"/>
    </xf>
    <xf numFmtId="10" fontId="98" fillId="0" borderId="24" xfId="0" applyNumberFormat="1" applyFont="1" applyFill="1" applyBorder="1" applyAlignment="1">
      <alignment horizontal="center" vertical="center"/>
    </xf>
    <xf numFmtId="4" fontId="98" fillId="0" borderId="20" xfId="0" applyNumberFormat="1" applyFont="1" applyFill="1" applyBorder="1" applyAlignment="1">
      <alignment horizontal="left" vertical="center"/>
    </xf>
    <xf numFmtId="4" fontId="98" fillId="0" borderId="4" xfId="0" applyNumberFormat="1" applyFont="1" applyFill="1" applyBorder="1" applyAlignment="1">
      <alignment horizontal="left" vertical="center"/>
    </xf>
    <xf numFmtId="4" fontId="92" fillId="0" borderId="20" xfId="0" applyNumberFormat="1" applyFont="1" applyFill="1" applyBorder="1" applyAlignment="1">
      <alignment horizontal="center" vertical="center"/>
    </xf>
    <xf numFmtId="4" fontId="92" fillId="0" borderId="4" xfId="0" applyNumberFormat="1" applyFont="1" applyFill="1" applyBorder="1" applyAlignment="1">
      <alignment horizontal="center" vertical="center"/>
    </xf>
    <xf numFmtId="0" fontId="23" fillId="0" borderId="20" xfId="0" applyFont="1" applyBorder="1" applyAlignment="1">
      <alignment horizontal="center" vertical="center"/>
    </xf>
    <xf numFmtId="0" fontId="23" fillId="0" borderId="4" xfId="0" applyFont="1" applyBorder="1" applyAlignment="1">
      <alignment horizontal="center" vertical="center"/>
    </xf>
    <xf numFmtId="0" fontId="92" fillId="0" borderId="20" xfId="5" applyFont="1" applyBorder="1" applyAlignment="1">
      <alignment horizontal="center" vertical="center" wrapText="1"/>
    </xf>
    <xf numFmtId="0" fontId="92" fillId="0" borderId="4" xfId="5" applyFont="1" applyBorder="1" applyAlignment="1">
      <alignment horizontal="center" vertical="center" wrapText="1"/>
    </xf>
    <xf numFmtId="0" fontId="23" fillId="0" borderId="2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20" xfId="0" applyFont="1" applyFill="1" applyBorder="1" applyAlignment="1">
      <alignment horizontal="center" vertical="center"/>
    </xf>
    <xf numFmtId="0" fontId="23" fillId="0" borderId="4" xfId="0" applyFont="1" applyFill="1" applyBorder="1" applyAlignment="1">
      <alignment horizontal="center" vertical="center"/>
    </xf>
    <xf numFmtId="0" fontId="102" fillId="0" borderId="44" xfId="0" applyFont="1" applyFill="1" applyBorder="1" applyAlignment="1">
      <alignment horizontal="left" vertical="center" wrapText="1"/>
    </xf>
    <xf numFmtId="0" fontId="23" fillId="0" borderId="20" xfId="5" applyFont="1" applyFill="1" applyBorder="1" applyAlignment="1">
      <alignment horizontal="left" vertical="center" wrapText="1"/>
    </xf>
    <xf numFmtId="0" fontId="23" fillId="0" borderId="4" xfId="5"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98" fillId="0" borderId="4" xfId="0" applyFont="1" applyBorder="1" applyAlignment="1">
      <alignment horizontal="left" vertical="center" wrapText="1"/>
    </xf>
    <xf numFmtId="0" fontId="98" fillId="0" borderId="3" xfId="0" applyFont="1" applyBorder="1" applyAlignment="1">
      <alignment horizontal="left" vertical="center" wrapText="1"/>
    </xf>
    <xf numFmtId="0" fontId="23" fillId="0" borderId="3"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90" fillId="5" borderId="60" xfId="0" applyFont="1" applyFill="1" applyBorder="1" applyAlignment="1">
      <alignment horizontal="left" vertical="center" wrapText="1"/>
    </xf>
    <xf numFmtId="0" fontId="90" fillId="5" borderId="16" xfId="0" applyFont="1" applyFill="1" applyBorder="1" applyAlignment="1">
      <alignment horizontal="left" vertical="center" wrapText="1"/>
    </xf>
    <xf numFmtId="0" fontId="88" fillId="5" borderId="30" xfId="0" applyFont="1" applyFill="1" applyBorder="1" applyAlignment="1">
      <alignment horizontal="center" vertical="center" wrapText="1"/>
    </xf>
    <xf numFmtId="0" fontId="88" fillId="5" borderId="5" xfId="0" applyFont="1" applyFill="1" applyBorder="1" applyAlignment="1">
      <alignment horizontal="center" vertical="center" wrapText="1"/>
    </xf>
    <xf numFmtId="0" fontId="98" fillId="0" borderId="21" xfId="0" applyFont="1" applyBorder="1" applyAlignment="1">
      <alignment horizontal="left" vertical="center" wrapText="1"/>
    </xf>
    <xf numFmtId="10" fontId="23" fillId="0" borderId="42" xfId="0" applyNumberFormat="1" applyFont="1" applyFill="1" applyBorder="1" applyAlignment="1">
      <alignment horizontal="center" vertical="center"/>
    </xf>
    <xf numFmtId="0" fontId="98" fillId="0" borderId="20" xfId="0" applyFont="1" applyBorder="1" applyAlignment="1">
      <alignment horizontal="center" vertical="center" wrapText="1"/>
    </xf>
    <xf numFmtId="0" fontId="98" fillId="0" borderId="3" xfId="0" applyFont="1" applyBorder="1" applyAlignment="1">
      <alignment horizontal="center" vertical="center" wrapText="1"/>
    </xf>
    <xf numFmtId="0" fontId="98" fillId="0" borderId="4" xfId="0" applyFont="1" applyBorder="1" applyAlignment="1">
      <alignment horizontal="center" vertical="center" wrapText="1"/>
    </xf>
    <xf numFmtId="4" fontId="23" fillId="0" borderId="33" xfId="0" applyNumberFormat="1" applyFont="1" applyFill="1" applyBorder="1" applyAlignment="1">
      <alignment horizontal="center" vertical="center"/>
    </xf>
    <xf numFmtId="4" fontId="23" fillId="0" borderId="24" xfId="0" applyNumberFormat="1" applyFont="1" applyFill="1" applyBorder="1" applyAlignment="1">
      <alignment horizontal="center" vertical="center"/>
    </xf>
    <xf numFmtId="0" fontId="90" fillId="5" borderId="65" xfId="0" applyFont="1" applyFill="1" applyBorder="1" applyAlignment="1">
      <alignment horizontal="left" vertical="center" wrapText="1"/>
    </xf>
    <xf numFmtId="0" fontId="90" fillId="5" borderId="6" xfId="0" applyFont="1" applyFill="1" applyBorder="1" applyAlignment="1">
      <alignment horizontal="left" vertical="center" wrapText="1"/>
    </xf>
    <xf numFmtId="0" fontId="88" fillId="5" borderId="44" xfId="0" applyFont="1" applyFill="1" applyBorder="1" applyAlignment="1">
      <alignment horizontal="center" vertical="center" wrapText="1"/>
    </xf>
    <xf numFmtId="4" fontId="23" fillId="0" borderId="37" xfId="0" applyNumberFormat="1" applyFont="1" applyFill="1" applyBorder="1" applyAlignment="1">
      <alignment horizontal="center" vertical="center"/>
    </xf>
    <xf numFmtId="4" fontId="23" fillId="0" borderId="16" xfId="0" applyNumberFormat="1" applyFont="1" applyFill="1" applyBorder="1" applyAlignment="1">
      <alignment horizontal="center" vertical="center"/>
    </xf>
    <xf numFmtId="0" fontId="23" fillId="0" borderId="20"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4" fontId="98" fillId="0" borderId="3" xfId="0" applyNumberFormat="1" applyFont="1" applyFill="1" applyBorder="1" applyAlignment="1">
      <alignment horizontal="left" vertical="center"/>
    </xf>
    <xf numFmtId="4" fontId="98" fillId="0" borderId="20" xfId="0" applyNumberFormat="1" applyFont="1" applyBorder="1" applyAlignment="1">
      <alignment horizontal="left" vertical="center"/>
    </xf>
    <xf numFmtId="4" fontId="98" fillId="0" borderId="4" xfId="0" applyNumberFormat="1" applyFont="1" applyBorder="1" applyAlignment="1">
      <alignment horizontal="left" vertical="center"/>
    </xf>
    <xf numFmtId="4" fontId="23" fillId="0" borderId="33" xfId="0" applyNumberFormat="1" applyFont="1" applyFill="1" applyBorder="1" applyAlignment="1">
      <alignment horizontal="right" vertical="center"/>
    </xf>
    <xf numFmtId="4" fontId="23" fillId="0" borderId="34" xfId="0" applyNumberFormat="1" applyFont="1" applyFill="1" applyBorder="1" applyAlignment="1">
      <alignment horizontal="right" vertical="center"/>
    </xf>
    <xf numFmtId="4" fontId="23" fillId="0" borderId="24" xfId="0" applyNumberFormat="1" applyFont="1" applyFill="1" applyBorder="1" applyAlignment="1">
      <alignment horizontal="right" vertical="center"/>
    </xf>
    <xf numFmtId="4" fontId="98" fillId="0" borderId="50" xfId="0" applyNumberFormat="1" applyFont="1" applyFill="1" applyBorder="1" applyAlignment="1">
      <alignment horizontal="right" vertical="center" wrapText="1"/>
    </xf>
    <xf numFmtId="4" fontId="98" fillId="0" borderId="49" xfId="0" applyNumberFormat="1" applyFont="1" applyFill="1" applyBorder="1" applyAlignment="1">
      <alignment horizontal="right" vertical="center" wrapText="1"/>
    </xf>
    <xf numFmtId="4" fontId="98" fillId="0" borderId="15" xfId="0" applyNumberFormat="1" applyFont="1" applyFill="1" applyBorder="1" applyAlignment="1">
      <alignment horizontal="right" vertical="center" wrapText="1"/>
    </xf>
    <xf numFmtId="4" fontId="99" fillId="0" borderId="37" xfId="0" applyNumberFormat="1" applyFont="1" applyFill="1" applyBorder="1" applyAlignment="1">
      <alignment horizontal="right" vertical="center" wrapText="1"/>
    </xf>
    <xf numFmtId="4" fontId="99" fillId="0" borderId="40" xfId="0" applyNumberFormat="1" applyFont="1" applyFill="1" applyBorder="1" applyAlignment="1">
      <alignment horizontal="right" vertical="center" wrapText="1"/>
    </xf>
    <xf numFmtId="4" fontId="99" fillId="0" borderId="16" xfId="0" applyNumberFormat="1" applyFont="1" applyFill="1" applyBorder="1" applyAlignment="1">
      <alignment horizontal="right" vertical="center" wrapText="1"/>
    </xf>
    <xf numFmtId="4" fontId="92" fillId="0" borderId="3" xfId="0" applyNumberFormat="1" applyFont="1" applyFill="1" applyBorder="1" applyAlignment="1">
      <alignment horizontal="center" vertical="center"/>
    </xf>
    <xf numFmtId="0" fontId="23" fillId="0" borderId="3" xfId="0" applyFont="1" applyBorder="1" applyAlignment="1">
      <alignment horizontal="center" vertical="center"/>
    </xf>
    <xf numFmtId="0" fontId="92" fillId="0" borderId="3" xfId="5" applyFont="1" applyBorder="1" applyAlignment="1">
      <alignment horizontal="center" vertical="center" wrapText="1"/>
    </xf>
    <xf numFmtId="0" fontId="92" fillId="0" borderId="20" xfId="0" applyFont="1" applyFill="1" applyBorder="1" applyAlignment="1">
      <alignment horizontal="left" vertical="center" wrapText="1"/>
    </xf>
    <xf numFmtId="0" fontId="92" fillId="0" borderId="3" xfId="0" applyFont="1" applyFill="1" applyBorder="1" applyAlignment="1">
      <alignment horizontal="left" vertical="center" wrapText="1"/>
    </xf>
    <xf numFmtId="0" fontId="92" fillId="0" borderId="4" xfId="0" applyFont="1" applyFill="1" applyBorder="1" applyAlignment="1">
      <alignment horizontal="left" vertical="center" wrapText="1"/>
    </xf>
    <xf numFmtId="0" fontId="15" fillId="0" borderId="20" xfId="5" applyFont="1" applyFill="1" applyBorder="1" applyAlignment="1">
      <alignment horizontal="left" vertical="center" wrapText="1"/>
    </xf>
    <xf numFmtId="0" fontId="8" fillId="0" borderId="20" xfId="0" applyFont="1" applyFill="1" applyBorder="1" applyAlignment="1">
      <alignment horizontal="center" vertical="center" wrapText="1"/>
    </xf>
    <xf numFmtId="4" fontId="98" fillId="0" borderId="3" xfId="0" applyNumberFormat="1" applyFont="1" applyBorder="1" applyAlignment="1">
      <alignment horizontal="left" vertical="center"/>
    </xf>
    <xf numFmtId="4" fontId="98" fillId="0" borderId="20" xfId="0" applyNumberFormat="1" applyFont="1" applyFill="1" applyBorder="1" applyAlignment="1">
      <alignment horizontal="left" vertical="center" wrapText="1"/>
    </xf>
    <xf numFmtId="4" fontId="98" fillId="0" borderId="4" xfId="0" applyNumberFormat="1" applyFont="1" applyFill="1" applyBorder="1" applyAlignment="1">
      <alignment horizontal="left" vertical="center" wrapText="1"/>
    </xf>
    <xf numFmtId="0" fontId="23" fillId="0" borderId="20" xfId="5" applyFont="1" applyBorder="1" applyAlignment="1">
      <alignment horizontal="left" vertical="center" wrapText="1"/>
    </xf>
    <xf numFmtId="0" fontId="23" fillId="0" borderId="3" xfId="5" applyFont="1" applyFill="1" applyBorder="1" applyAlignment="1">
      <alignment horizontal="left" vertical="center" wrapText="1"/>
    </xf>
    <xf numFmtId="0" fontId="92" fillId="0" borderId="20" xfId="5" applyFont="1" applyBorder="1" applyAlignment="1">
      <alignment horizontal="left" vertical="center" wrapText="1"/>
    </xf>
    <xf numFmtId="0" fontId="92" fillId="0" borderId="4" xfId="5" applyFont="1" applyBorder="1" applyAlignment="1">
      <alignment horizontal="left" vertical="center" wrapText="1"/>
    </xf>
    <xf numFmtId="0" fontId="23" fillId="0" borderId="50"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15" xfId="0" applyFont="1" applyFill="1" applyBorder="1" applyAlignment="1">
      <alignment horizontal="center" vertical="center"/>
    </xf>
    <xf numFmtId="0" fontId="19" fillId="0" borderId="20" xfId="0" applyFont="1" applyFill="1" applyBorder="1" applyAlignment="1">
      <alignment horizontal="center" vertical="center"/>
    </xf>
    <xf numFmtId="0" fontId="23" fillId="0" borderId="3" xfId="0" applyFont="1" applyFill="1" applyBorder="1" applyAlignment="1">
      <alignment horizontal="center" vertical="center"/>
    </xf>
    <xf numFmtId="0" fontId="90" fillId="5" borderId="47" xfId="0" applyFont="1" applyFill="1" applyBorder="1" applyAlignment="1">
      <alignment horizontal="center" vertical="center" textRotation="90" wrapText="1"/>
    </xf>
    <xf numFmtId="0" fontId="90" fillId="5" borderId="15" xfId="0" applyFont="1" applyFill="1" applyBorder="1" applyAlignment="1">
      <alignment horizontal="center" vertical="center" textRotation="90" wrapText="1"/>
    </xf>
    <xf numFmtId="0" fontId="19" fillId="0" borderId="20" xfId="5" applyFont="1" applyFill="1" applyBorder="1" applyAlignment="1">
      <alignment horizontal="left" vertical="center" wrapText="1"/>
    </xf>
    <xf numFmtId="0" fontId="23" fillId="0" borderId="21" xfId="0" applyFont="1" applyFill="1" applyBorder="1" applyAlignment="1">
      <alignment horizontal="left" vertical="center"/>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21" xfId="0" applyFont="1" applyFill="1" applyBorder="1" applyAlignment="1">
      <alignment horizontal="left" vertical="center" wrapText="1"/>
    </xf>
    <xf numFmtId="4" fontId="23" fillId="0" borderId="21" xfId="0" applyNumberFormat="1" applyFont="1" applyBorder="1" applyAlignment="1">
      <alignment horizontal="right" vertical="center"/>
    </xf>
    <xf numFmtId="0" fontId="23" fillId="0" borderId="47" xfId="0" applyFont="1" applyFill="1" applyBorder="1" applyAlignment="1">
      <alignment horizontal="center" vertical="center"/>
    </xf>
    <xf numFmtId="0" fontId="23" fillId="0" borderId="5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50" xfId="5" applyFont="1" applyFill="1" applyBorder="1" applyAlignment="1">
      <alignment horizontal="center" vertical="center" wrapText="1"/>
    </xf>
    <xf numFmtId="0" fontId="23" fillId="0" borderId="49" xfId="5" applyFont="1" applyFill="1" applyBorder="1" applyAlignment="1">
      <alignment horizontal="center" vertical="center" wrapText="1"/>
    </xf>
    <xf numFmtId="0" fontId="23" fillId="0" borderId="15" xfId="5" applyFont="1" applyFill="1" applyBorder="1" applyAlignment="1">
      <alignment horizontal="center" vertical="center" wrapText="1"/>
    </xf>
    <xf numFmtId="0" fontId="23" fillId="0" borderId="20" xfId="0" applyFont="1" applyFill="1" applyBorder="1" applyAlignment="1">
      <alignment horizontal="left" vertical="center"/>
    </xf>
    <xf numFmtId="4" fontId="98" fillId="0" borderId="21" xfId="0" applyNumberFormat="1" applyFont="1" applyBorder="1" applyAlignment="1">
      <alignment horizontal="left" vertical="center"/>
    </xf>
    <xf numFmtId="0" fontId="115" fillId="5" borderId="21" xfId="0" applyFont="1" applyFill="1" applyBorder="1" applyAlignment="1">
      <alignment horizontal="left" vertical="center" wrapText="1"/>
    </xf>
    <xf numFmtId="0" fontId="115" fillId="5" borderId="4" xfId="0" applyFont="1" applyFill="1" applyBorder="1" applyAlignment="1">
      <alignment horizontal="left" vertical="center" wrapText="1"/>
    </xf>
    <xf numFmtId="0" fontId="23" fillId="0" borderId="49" xfId="0" applyFont="1" applyFill="1" applyBorder="1" applyAlignment="1">
      <alignment horizontal="center" vertical="center" wrapText="1"/>
    </xf>
    <xf numFmtId="0" fontId="23" fillId="0" borderId="21" xfId="0" applyFont="1" applyBorder="1" applyAlignment="1">
      <alignment horizontal="left" vertical="center"/>
    </xf>
    <xf numFmtId="4" fontId="98" fillId="0" borderId="3" xfId="0" applyNumberFormat="1" applyFont="1" applyFill="1" applyBorder="1" applyAlignment="1">
      <alignment horizontal="left" vertical="center" wrapText="1"/>
    </xf>
    <xf numFmtId="0" fontId="23" fillId="0" borderId="20" xfId="5" applyFont="1" applyFill="1" applyBorder="1" applyAlignment="1">
      <alignment horizontal="center" vertical="center" wrapText="1"/>
    </xf>
    <xf numFmtId="0" fontId="23" fillId="0" borderId="3" xfId="5" applyFont="1" applyFill="1" applyBorder="1" applyAlignment="1">
      <alignment horizontal="center" vertical="center" wrapText="1"/>
    </xf>
    <xf numFmtId="0" fontId="23" fillId="0" borderId="4" xfId="5" applyFont="1" applyFill="1" applyBorder="1" applyAlignment="1">
      <alignment horizontal="center" vertical="center" wrapText="1"/>
    </xf>
    <xf numFmtId="0" fontId="23" fillId="0" borderId="20"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4" fontId="23" fillId="0" borderId="20" xfId="0" applyNumberFormat="1" applyFont="1" applyFill="1" applyBorder="1" applyAlignment="1">
      <alignment horizontal="right" vertical="center" wrapText="1"/>
    </xf>
    <xf numFmtId="4" fontId="23" fillId="0" borderId="3" xfId="0" applyNumberFormat="1" applyFont="1" applyFill="1" applyBorder="1" applyAlignment="1">
      <alignment horizontal="right" vertical="center" wrapText="1"/>
    </xf>
    <xf numFmtId="4" fontId="23" fillId="0" borderId="4" xfId="0" applyNumberFormat="1" applyFont="1" applyFill="1" applyBorder="1" applyAlignment="1">
      <alignment horizontal="right" vertical="center" wrapText="1"/>
    </xf>
    <xf numFmtId="0" fontId="88" fillId="0" borderId="75" xfId="0" applyFont="1" applyFill="1" applyBorder="1" applyAlignment="1">
      <alignment horizontal="left" wrapText="1"/>
    </xf>
    <xf numFmtId="0" fontId="88" fillId="0" borderId="74"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Layout" zoomScaleNormal="70" workbookViewId="0">
      <selection activeCell="L22" sqref="L22"/>
    </sheetView>
  </sheetViews>
  <sheetFormatPr defaultRowHeight="15" x14ac:dyDescent="0.25"/>
  <cols>
    <col min="1" max="1" width="14.28515625" customWidth="1"/>
    <col min="2" max="2" width="17.140625" customWidth="1"/>
    <col min="3" max="4" width="18.7109375" customWidth="1"/>
    <col min="5" max="5" width="19.5703125" customWidth="1"/>
    <col min="6" max="7" width="16.7109375" customWidth="1"/>
    <col min="8" max="8" width="19.5703125" customWidth="1"/>
    <col min="9" max="9" width="16.7109375" customWidth="1"/>
  </cols>
  <sheetData>
    <row r="1" spans="1:10" ht="57" customHeight="1" x14ac:dyDescent="0.4">
      <c r="A1" s="775" t="s">
        <v>692</v>
      </c>
      <c r="B1" s="775"/>
      <c r="C1" s="775"/>
      <c r="D1" s="775"/>
      <c r="E1" s="775"/>
      <c r="F1" s="775"/>
      <c r="G1" s="775"/>
      <c r="H1" s="775"/>
      <c r="I1" s="775"/>
    </row>
    <row r="2" spans="1:10" ht="9" customHeight="1" x14ac:dyDescent="0.25"/>
    <row r="3" spans="1:10" ht="15.75" x14ac:dyDescent="0.25">
      <c r="A3" s="300" t="s">
        <v>224</v>
      </c>
      <c r="B3" s="300"/>
      <c r="C3" s="300"/>
      <c r="D3" s="300"/>
      <c r="E3" s="300"/>
      <c r="F3" s="300"/>
      <c r="G3" s="300"/>
      <c r="H3" s="300"/>
      <c r="I3" s="306" t="s">
        <v>195</v>
      </c>
    </row>
    <row r="4" spans="1:10" ht="32.25" customHeight="1" x14ac:dyDescent="0.25">
      <c r="A4" s="762" t="s">
        <v>193</v>
      </c>
      <c r="B4" s="763"/>
      <c r="C4" s="785" t="s">
        <v>255</v>
      </c>
      <c r="D4" s="764" t="s">
        <v>311</v>
      </c>
      <c r="E4" s="757" t="s">
        <v>309</v>
      </c>
      <c r="F4" s="758"/>
      <c r="G4" s="759"/>
      <c r="H4" s="780" t="s">
        <v>310</v>
      </c>
      <c r="I4" s="780" t="s">
        <v>256</v>
      </c>
    </row>
    <row r="5" spans="1:10" ht="94.5" customHeight="1" x14ac:dyDescent="0.25">
      <c r="A5" s="762"/>
      <c r="B5" s="763"/>
      <c r="C5" s="785"/>
      <c r="D5" s="764"/>
      <c r="E5" s="373" t="s">
        <v>212</v>
      </c>
      <c r="F5" s="258" t="s">
        <v>254</v>
      </c>
      <c r="G5" s="259" t="s">
        <v>325</v>
      </c>
      <c r="H5" s="780"/>
      <c r="I5" s="780"/>
      <c r="J5" s="234"/>
    </row>
    <row r="6" spans="1:10" ht="31.5" x14ac:dyDescent="0.25">
      <c r="A6" s="778" t="s">
        <v>196</v>
      </c>
      <c r="B6" s="779"/>
      <c r="C6" s="260" t="s">
        <v>197</v>
      </c>
      <c r="D6" s="371" t="s">
        <v>198</v>
      </c>
      <c r="E6" s="374" t="s">
        <v>349</v>
      </c>
      <c r="F6" s="261" t="s">
        <v>200</v>
      </c>
      <c r="G6" s="262" t="s">
        <v>201</v>
      </c>
      <c r="H6" s="263" t="s">
        <v>350</v>
      </c>
      <c r="I6" s="263" t="s">
        <v>351</v>
      </c>
    </row>
    <row r="7" spans="1:10" ht="45" customHeight="1" x14ac:dyDescent="0.25">
      <c r="A7" s="781" t="s">
        <v>221</v>
      </c>
      <c r="B7" s="782"/>
      <c r="C7" s="264">
        <f>'Projekty KK'!G113</f>
        <v>1436802032.23</v>
      </c>
      <c r="D7" s="265">
        <f>'Projekty KK'!L113</f>
        <v>255894841.96999994</v>
      </c>
      <c r="E7" s="266">
        <f>'Projekty KK'!M113</f>
        <v>147347095.56999999</v>
      </c>
      <c r="F7" s="267">
        <f>'Projekty KK'!N113</f>
        <v>119583598.20000002</v>
      </c>
      <c r="G7" s="268">
        <f>'Projekty KK'!O113</f>
        <v>27763497.369999997</v>
      </c>
      <c r="H7" s="269">
        <f>E7/D7</f>
        <v>0.5758111200509245</v>
      </c>
      <c r="I7" s="269">
        <f>E7/C7</f>
        <v>0.10255212079656427</v>
      </c>
    </row>
    <row r="8" spans="1:10" ht="45" customHeight="1" x14ac:dyDescent="0.25">
      <c r="A8" s="783" t="s">
        <v>222</v>
      </c>
      <c r="B8" s="784"/>
      <c r="C8" s="270">
        <f>'Projekty PO'!G67</f>
        <v>3543065218.9099998</v>
      </c>
      <c r="D8" s="271">
        <f>'Projekty PO'!L67</f>
        <v>894712980.08450007</v>
      </c>
      <c r="E8" s="272">
        <f>'Projekty PO'!M67</f>
        <v>314227325.27399987</v>
      </c>
      <c r="F8" s="273">
        <f>'Projekty PO'!N67</f>
        <v>334234235.98399991</v>
      </c>
      <c r="G8" s="274">
        <f>'Projekty PO'!O67</f>
        <v>13153482.684999999</v>
      </c>
      <c r="H8" s="275">
        <f>E8/D8</f>
        <v>0.35120461228172084</v>
      </c>
      <c r="I8" s="276">
        <f>E8/C8</f>
        <v>8.8687987902935014E-2</v>
      </c>
    </row>
    <row r="9" spans="1:10" ht="49.5" customHeight="1" thickBot="1" x14ac:dyDescent="0.3">
      <c r="A9" s="786" t="s">
        <v>295</v>
      </c>
      <c r="B9" s="787"/>
      <c r="C9" s="277" t="s">
        <v>211</v>
      </c>
      <c r="D9" s="278">
        <v>2065000000</v>
      </c>
      <c r="E9" s="279">
        <v>307867530</v>
      </c>
      <c r="F9" s="280">
        <v>307867530</v>
      </c>
      <c r="G9" s="281">
        <v>0</v>
      </c>
      <c r="H9" s="282">
        <f>E9/D9</f>
        <v>0.14908839225181597</v>
      </c>
      <c r="I9" s="283" t="s">
        <v>211</v>
      </c>
    </row>
    <row r="10" spans="1:10" ht="32.25" customHeight="1" x14ac:dyDescent="0.25">
      <c r="A10" s="760" t="s">
        <v>129</v>
      </c>
      <c r="B10" s="761"/>
      <c r="C10" s="284">
        <f>SUM(C7:C9)</f>
        <v>4979867251.1399994</v>
      </c>
      <c r="D10" s="372">
        <f>SUM(D7:D9)</f>
        <v>3215607822.0545001</v>
      </c>
      <c r="E10" s="375">
        <f>SUM(E7:E9)</f>
        <v>769441950.84399986</v>
      </c>
      <c r="F10" s="285">
        <f>SUM(F7:F9)</f>
        <v>761685364.1839999</v>
      </c>
      <c r="G10" s="286">
        <f>SUM(G7:G9)</f>
        <v>40916980.054999992</v>
      </c>
      <c r="H10" s="287">
        <f>E10/D10</f>
        <v>0.2392835175877859</v>
      </c>
      <c r="I10" s="288">
        <f>E10/C10</f>
        <v>0.15451053452636873</v>
      </c>
    </row>
    <row r="11" spans="1:10" s="149" customFormat="1" x14ac:dyDescent="0.25">
      <c r="A11" s="482" t="s">
        <v>465</v>
      </c>
      <c r="B11" s="518"/>
      <c r="C11" s="518"/>
      <c r="D11" s="518"/>
      <c r="E11" s="518"/>
      <c r="F11" s="518"/>
      <c r="G11" s="176"/>
      <c r="H11" s="177"/>
      <c r="I11" s="73"/>
    </row>
    <row r="12" spans="1:10" s="149" customFormat="1" ht="48" customHeight="1" x14ac:dyDescent="0.25">
      <c r="A12" s="768" t="s">
        <v>466</v>
      </c>
      <c r="B12" s="768"/>
      <c r="C12" s="768"/>
      <c r="D12" s="768"/>
      <c r="E12" s="768"/>
      <c r="F12" s="768"/>
      <c r="G12" s="176"/>
      <c r="H12" s="177"/>
      <c r="I12" s="73"/>
    </row>
    <row r="13" spans="1:10" s="149" customFormat="1" ht="23.25" x14ac:dyDescent="0.25">
      <c r="A13" s="299" t="s">
        <v>218</v>
      </c>
      <c r="B13" s="174"/>
      <c r="C13" s="175"/>
      <c r="D13" s="175"/>
      <c r="E13" s="175"/>
      <c r="F13" s="176"/>
      <c r="G13" s="176"/>
      <c r="H13" s="177"/>
      <c r="I13" s="73"/>
    </row>
    <row r="14" spans="1:10" s="149" customFormat="1" ht="15" customHeight="1" x14ac:dyDescent="0.25">
      <c r="A14" s="174"/>
      <c r="B14" s="174"/>
      <c r="C14" s="175"/>
      <c r="D14" s="175"/>
      <c r="E14" s="175"/>
      <c r="F14" s="176"/>
      <c r="G14" s="176"/>
      <c r="H14" s="177"/>
      <c r="I14" s="73"/>
    </row>
    <row r="15" spans="1:10" s="149" customFormat="1" ht="14.25" customHeight="1" x14ac:dyDescent="0.25">
      <c r="A15" s="300" t="s">
        <v>225</v>
      </c>
      <c r="B15" s="301"/>
      <c r="C15" s="302"/>
      <c r="D15" s="302"/>
      <c r="E15" s="302"/>
      <c r="F15" s="303"/>
      <c r="G15" s="303"/>
      <c r="H15" s="304"/>
      <c r="I15" s="305" t="s">
        <v>195</v>
      </c>
    </row>
    <row r="16" spans="1:10" s="149" customFormat="1" ht="24.95" customHeight="1" x14ac:dyDescent="0.25">
      <c r="A16" s="772" t="s">
        <v>468</v>
      </c>
      <c r="B16" s="773"/>
      <c r="C16" s="773"/>
      <c r="D16" s="774"/>
      <c r="E16" s="290">
        <f>E7+E8</f>
        <v>461574420.84399986</v>
      </c>
      <c r="F16" s="752"/>
      <c r="G16" s="753"/>
      <c r="H16" s="753"/>
      <c r="I16" s="754"/>
    </row>
    <row r="17" spans="1:9" s="149" customFormat="1" ht="24.95" customHeight="1" x14ac:dyDescent="0.25">
      <c r="A17" s="289" t="s">
        <v>157</v>
      </c>
      <c r="B17" s="292" t="s">
        <v>226</v>
      </c>
      <c r="C17" s="292"/>
      <c r="D17" s="293"/>
      <c r="E17" s="294">
        <f>'Projekty KK'!N114+'Projekty PO'!N68</f>
        <v>218667209.04399991</v>
      </c>
      <c r="F17" s="516" t="s">
        <v>467</v>
      </c>
      <c r="G17" s="516"/>
      <c r="H17" s="516"/>
      <c r="I17" s="516"/>
    </row>
    <row r="18" spans="1:9" s="149" customFormat="1" ht="24.95" customHeight="1" x14ac:dyDescent="0.25">
      <c r="A18" s="291"/>
      <c r="B18" s="514" t="s">
        <v>220</v>
      </c>
      <c r="C18" s="514"/>
      <c r="D18" s="515"/>
      <c r="E18" s="295">
        <f>'Projekty KK'!N115+'Projekty PO'!N69</f>
        <v>235150625.14000005</v>
      </c>
      <c r="F18" s="765" t="s">
        <v>304</v>
      </c>
      <c r="G18" s="766"/>
      <c r="H18" s="766"/>
      <c r="I18" s="767"/>
    </row>
    <row r="19" spans="1:9" s="149" customFormat="1" ht="24.95" customHeight="1" x14ac:dyDescent="0.25">
      <c r="A19" s="291"/>
      <c r="B19" s="776" t="s">
        <v>329</v>
      </c>
      <c r="C19" s="776"/>
      <c r="D19" s="777"/>
      <c r="E19" s="296">
        <f>'Projekty KK'!O113+'Projekty PO'!O67</f>
        <v>40916980.054999992</v>
      </c>
      <c r="F19" s="755" t="s">
        <v>304</v>
      </c>
      <c r="G19" s="755"/>
      <c r="H19" s="755"/>
      <c r="I19" s="755"/>
    </row>
    <row r="20" spans="1:9" s="149" customFormat="1" ht="24.95" customHeight="1" x14ac:dyDescent="0.25">
      <c r="A20" s="772" t="s">
        <v>219</v>
      </c>
      <c r="B20" s="773"/>
      <c r="C20" s="773"/>
      <c r="D20" s="774"/>
      <c r="E20" s="290">
        <f>E9</f>
        <v>307867530</v>
      </c>
      <c r="F20" s="756" t="s">
        <v>303</v>
      </c>
      <c r="G20" s="756"/>
      <c r="H20" s="756"/>
      <c r="I20" s="756"/>
    </row>
    <row r="21" spans="1:9" s="149" customFormat="1" ht="33" customHeight="1" x14ac:dyDescent="0.25">
      <c r="A21" s="769" t="s">
        <v>316</v>
      </c>
      <c r="B21" s="770"/>
      <c r="C21" s="770"/>
      <c r="D21" s="771"/>
      <c r="E21" s="404">
        <f>E10</f>
        <v>769441950.84399986</v>
      </c>
      <c r="F21" s="755" t="s">
        <v>302</v>
      </c>
      <c r="G21" s="755"/>
      <c r="H21" s="755"/>
      <c r="I21" s="755"/>
    </row>
    <row r="22" spans="1:9" x14ac:dyDescent="0.25">
      <c r="A22" s="171"/>
      <c r="B22" s="171"/>
      <c r="C22" s="171"/>
      <c r="H22" s="167"/>
    </row>
    <row r="23" spans="1:9" ht="18.75" x14ac:dyDescent="0.3">
      <c r="A23" s="178" t="s">
        <v>223</v>
      </c>
      <c r="B23" s="1"/>
      <c r="C23" s="257"/>
      <c r="D23" s="168"/>
      <c r="E23" s="168"/>
      <c r="F23" s="168"/>
      <c r="G23" s="168"/>
      <c r="H23" s="169"/>
      <c r="I23" s="168"/>
    </row>
    <row r="24" spans="1:9" ht="116.25" customHeight="1" x14ac:dyDescent="0.25">
      <c r="A24" s="297" t="s">
        <v>197</v>
      </c>
      <c r="B24" s="747" t="s">
        <v>255</v>
      </c>
      <c r="C24" s="747"/>
      <c r="D24" s="747"/>
      <c r="E24" s="748" t="s">
        <v>314</v>
      </c>
      <c r="F24" s="748"/>
      <c r="G24" s="748"/>
      <c r="H24" s="748"/>
      <c r="I24" s="748"/>
    </row>
    <row r="25" spans="1:9" ht="66" customHeight="1" x14ac:dyDescent="0.25">
      <c r="A25" s="297" t="s">
        <v>198</v>
      </c>
      <c r="B25" s="747" t="s">
        <v>312</v>
      </c>
      <c r="C25" s="747"/>
      <c r="D25" s="747"/>
      <c r="E25" s="748" t="s">
        <v>315</v>
      </c>
      <c r="F25" s="748"/>
      <c r="G25" s="748"/>
      <c r="H25" s="748"/>
      <c r="I25" s="748"/>
    </row>
    <row r="26" spans="1:9" ht="40.5" customHeight="1" x14ac:dyDescent="0.25">
      <c r="A26" s="297" t="s">
        <v>199</v>
      </c>
      <c r="B26" s="747" t="s">
        <v>308</v>
      </c>
      <c r="C26" s="747"/>
      <c r="D26" s="747"/>
      <c r="E26" s="749" t="s">
        <v>259</v>
      </c>
      <c r="F26" s="750"/>
      <c r="G26" s="750"/>
      <c r="H26" s="750"/>
      <c r="I26" s="751"/>
    </row>
    <row r="27" spans="1:9" ht="105" customHeight="1" x14ac:dyDescent="0.25">
      <c r="A27" s="297" t="s">
        <v>200</v>
      </c>
      <c r="B27" s="747" t="s">
        <v>194</v>
      </c>
      <c r="C27" s="747"/>
      <c r="D27" s="747"/>
      <c r="E27" s="748" t="s">
        <v>301</v>
      </c>
      <c r="F27" s="748"/>
      <c r="G27" s="748"/>
      <c r="H27" s="748"/>
      <c r="I27" s="748"/>
    </row>
    <row r="28" spans="1:9" ht="72" customHeight="1" x14ac:dyDescent="0.25">
      <c r="A28" s="297" t="s">
        <v>201</v>
      </c>
      <c r="B28" s="747" t="s">
        <v>313</v>
      </c>
      <c r="C28" s="747"/>
      <c r="D28" s="747"/>
      <c r="E28" s="748" t="s">
        <v>217</v>
      </c>
      <c r="F28" s="748"/>
      <c r="G28" s="748"/>
      <c r="H28" s="748"/>
      <c r="I28" s="748"/>
    </row>
    <row r="29" spans="1:9" ht="69.75" customHeight="1" x14ac:dyDescent="0.25">
      <c r="A29" s="298" t="s">
        <v>257</v>
      </c>
      <c r="B29" s="747" t="s">
        <v>310</v>
      </c>
      <c r="C29" s="747"/>
      <c r="D29" s="747"/>
      <c r="E29" s="748" t="s">
        <v>272</v>
      </c>
      <c r="F29" s="748"/>
      <c r="G29" s="748"/>
      <c r="H29" s="748"/>
      <c r="I29" s="748"/>
    </row>
    <row r="30" spans="1:9" ht="42.75" customHeight="1" x14ac:dyDescent="0.25">
      <c r="A30" s="298" t="s">
        <v>258</v>
      </c>
      <c r="B30" s="747" t="s">
        <v>256</v>
      </c>
      <c r="C30" s="747"/>
      <c r="D30" s="747"/>
      <c r="E30" s="748" t="s">
        <v>271</v>
      </c>
      <c r="F30" s="748"/>
      <c r="G30" s="748"/>
      <c r="H30" s="748"/>
      <c r="I30" s="748"/>
    </row>
    <row r="31" spans="1:9" ht="15.75" x14ac:dyDescent="0.25">
      <c r="A31" s="170"/>
      <c r="B31" s="168"/>
      <c r="C31" s="168"/>
      <c r="D31" s="168"/>
      <c r="E31" s="168"/>
      <c r="F31" s="168"/>
      <c r="G31" s="168"/>
      <c r="H31" s="169"/>
    </row>
    <row r="32" spans="1:9" ht="15.75" x14ac:dyDescent="0.25">
      <c r="A32" s="170"/>
      <c r="B32" s="168"/>
      <c r="C32" s="168"/>
      <c r="D32" s="168"/>
      <c r="E32" s="168"/>
      <c r="F32" s="168"/>
      <c r="G32" s="168"/>
      <c r="H32" s="169"/>
    </row>
    <row r="33" spans="1:8" ht="15.75" x14ac:dyDescent="0.25">
      <c r="A33" s="168"/>
      <c r="B33" s="168"/>
      <c r="C33" s="168"/>
      <c r="D33" s="168"/>
      <c r="E33" s="168"/>
      <c r="F33" s="168"/>
      <c r="G33" s="168"/>
      <c r="H33" s="169"/>
    </row>
    <row r="34" spans="1:8" ht="15.75" x14ac:dyDescent="0.25">
      <c r="A34" s="168"/>
      <c r="B34" s="168"/>
      <c r="C34" s="168"/>
      <c r="D34" s="168"/>
      <c r="E34" s="168"/>
      <c r="F34" s="168"/>
      <c r="G34" s="168"/>
      <c r="H34" s="169"/>
    </row>
    <row r="35" spans="1:8" ht="15.75" x14ac:dyDescent="0.25">
      <c r="A35" s="168"/>
      <c r="B35" s="168"/>
      <c r="C35" s="168"/>
      <c r="D35" s="168"/>
      <c r="E35" s="168"/>
      <c r="F35" s="168"/>
      <c r="G35" s="168"/>
      <c r="H35" s="168"/>
    </row>
    <row r="36" spans="1:8" ht="15.75" x14ac:dyDescent="0.25">
      <c r="A36" s="168"/>
      <c r="B36" s="168"/>
      <c r="C36" s="168"/>
      <c r="D36" s="168"/>
      <c r="E36" s="168"/>
      <c r="F36" s="168"/>
      <c r="G36" s="168"/>
      <c r="H36" s="168"/>
    </row>
    <row r="37" spans="1:8" ht="18.75" x14ac:dyDescent="0.3">
      <c r="B37" s="166"/>
      <c r="C37" s="166"/>
    </row>
    <row r="38" spans="1:8" ht="18.75" x14ac:dyDescent="0.3">
      <c r="B38" s="166"/>
      <c r="C38" s="166"/>
    </row>
    <row r="39" spans="1:8" ht="18.75" x14ac:dyDescent="0.3">
      <c r="B39" s="166"/>
      <c r="C39" s="166"/>
    </row>
    <row r="40" spans="1:8" ht="18.75" x14ac:dyDescent="0.3">
      <c r="B40" s="166"/>
      <c r="C40" s="166"/>
    </row>
    <row r="41" spans="1:8" ht="18.75" x14ac:dyDescent="0.3">
      <c r="B41" s="166"/>
      <c r="C41" s="166"/>
    </row>
    <row r="42" spans="1:8" ht="18.75" x14ac:dyDescent="0.3">
      <c r="B42" s="166"/>
      <c r="C42" s="166"/>
    </row>
    <row r="43" spans="1:8" ht="18.75" x14ac:dyDescent="0.3">
      <c r="B43" s="166"/>
      <c r="C43" s="166"/>
    </row>
  </sheetData>
  <mergeCells count="36">
    <mergeCell ref="A21:D21"/>
    <mergeCell ref="F21:I21"/>
    <mergeCell ref="A20:D20"/>
    <mergeCell ref="A1:I1"/>
    <mergeCell ref="E25:I25"/>
    <mergeCell ref="A16:D16"/>
    <mergeCell ref="B19:D19"/>
    <mergeCell ref="A6:B6"/>
    <mergeCell ref="I4:I5"/>
    <mergeCell ref="B24:D24"/>
    <mergeCell ref="A7:B7"/>
    <mergeCell ref="A8:B8"/>
    <mergeCell ref="H4:H5"/>
    <mergeCell ref="C4:C5"/>
    <mergeCell ref="A9:B9"/>
    <mergeCell ref="B25:D25"/>
    <mergeCell ref="F16:I16"/>
    <mergeCell ref="F19:I19"/>
    <mergeCell ref="F20:I20"/>
    <mergeCell ref="E4:G4"/>
    <mergeCell ref="A10:B10"/>
    <mergeCell ref="A4:B5"/>
    <mergeCell ref="D4:D5"/>
    <mergeCell ref="F18:I18"/>
    <mergeCell ref="A12:F12"/>
    <mergeCell ref="B27:D27"/>
    <mergeCell ref="E24:I24"/>
    <mergeCell ref="B30:D30"/>
    <mergeCell ref="B28:D28"/>
    <mergeCell ref="B29:D29"/>
    <mergeCell ref="E28:I28"/>
    <mergeCell ref="E29:I29"/>
    <mergeCell ref="E30:I30"/>
    <mergeCell ref="E27:I27"/>
    <mergeCell ref="B26:D26"/>
    <mergeCell ref="E26:I26"/>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 stav k 2. 5.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4"/>
  <sheetViews>
    <sheetView zoomScale="60" zoomScaleNormal="60" zoomScalePageLayoutView="70" workbookViewId="0">
      <selection activeCell="O14" sqref="O14"/>
    </sheetView>
  </sheetViews>
  <sheetFormatPr defaultRowHeight="15" x14ac:dyDescent="0.25"/>
  <cols>
    <col min="1" max="1" width="4.7109375" customWidth="1"/>
    <col min="2" max="2" width="13.7109375" customWidth="1"/>
    <col min="3" max="3" width="35.7109375" customWidth="1"/>
    <col min="4" max="4" width="22.28515625" customWidth="1"/>
    <col min="5" max="5" width="12.85546875" customWidth="1"/>
    <col min="6" max="6" width="10.85546875" customWidth="1"/>
    <col min="7" max="8" width="17.85546875" customWidth="1"/>
    <col min="9" max="10" width="18.7109375" customWidth="1"/>
    <col min="11" max="11" width="40.7109375" customWidth="1"/>
    <col min="12" max="12" width="15.85546875" customWidth="1"/>
    <col min="13" max="15" width="15.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4" t="s">
        <v>690</v>
      </c>
      <c r="C1" s="23"/>
      <c r="D1" s="23"/>
      <c r="E1" s="23"/>
      <c r="F1" s="23"/>
      <c r="G1" s="23"/>
      <c r="H1" s="23"/>
      <c r="I1" s="23"/>
      <c r="J1" s="23"/>
      <c r="K1" s="23"/>
      <c r="L1" s="23"/>
      <c r="M1" s="23"/>
      <c r="N1" s="23"/>
      <c r="O1" s="23"/>
      <c r="P1" s="23"/>
      <c r="Q1" s="23"/>
      <c r="R1" s="235" t="s">
        <v>273</v>
      </c>
    </row>
    <row r="2" spans="1:20" ht="38.25" customHeight="1" x14ac:dyDescent="0.25">
      <c r="A2" s="893" t="s">
        <v>328</v>
      </c>
      <c r="B2" s="884" t="s">
        <v>145</v>
      </c>
      <c r="C2" s="884" t="s">
        <v>135</v>
      </c>
      <c r="D2" s="794" t="s">
        <v>657</v>
      </c>
      <c r="E2" s="884" t="s">
        <v>136</v>
      </c>
      <c r="F2" s="895" t="s">
        <v>141</v>
      </c>
      <c r="G2" s="884" t="s">
        <v>208</v>
      </c>
      <c r="H2" s="794" t="s">
        <v>505</v>
      </c>
      <c r="I2" s="884" t="s">
        <v>359</v>
      </c>
      <c r="J2" s="884" t="s">
        <v>137</v>
      </c>
      <c r="K2" s="882" t="s">
        <v>209</v>
      </c>
      <c r="L2" s="881" t="s">
        <v>311</v>
      </c>
      <c r="M2" s="878" t="s">
        <v>309</v>
      </c>
      <c r="N2" s="879"/>
      <c r="O2" s="880"/>
      <c r="P2" s="876" t="s">
        <v>310</v>
      </c>
      <c r="Q2" s="874" t="s">
        <v>270</v>
      </c>
      <c r="R2" s="885" t="s">
        <v>210</v>
      </c>
      <c r="S2" s="879" t="s">
        <v>398</v>
      </c>
      <c r="T2" s="880"/>
    </row>
    <row r="3" spans="1:20" ht="90" x14ac:dyDescent="0.25">
      <c r="A3" s="894"/>
      <c r="B3" s="794"/>
      <c r="C3" s="794"/>
      <c r="D3" s="792"/>
      <c r="E3" s="794"/>
      <c r="F3" s="896"/>
      <c r="G3" s="794"/>
      <c r="H3" s="792"/>
      <c r="I3" s="794"/>
      <c r="J3" s="794"/>
      <c r="K3" s="883"/>
      <c r="L3" s="876"/>
      <c r="M3" s="230" t="s">
        <v>212</v>
      </c>
      <c r="N3" s="231" t="s">
        <v>213</v>
      </c>
      <c r="O3" s="232" t="s">
        <v>214</v>
      </c>
      <c r="P3" s="877"/>
      <c r="Q3" s="875"/>
      <c r="R3" s="886"/>
      <c r="S3" s="231" t="s">
        <v>399</v>
      </c>
      <c r="T3" s="232" t="s">
        <v>195</v>
      </c>
    </row>
    <row r="4" spans="1:20" ht="26.25" customHeight="1" thickBot="1" x14ac:dyDescent="0.3">
      <c r="A4" s="179" t="s">
        <v>260</v>
      </c>
      <c r="B4" s="179" t="s">
        <v>261</v>
      </c>
      <c r="C4" s="179" t="s">
        <v>262</v>
      </c>
      <c r="D4" s="179" t="s">
        <v>263</v>
      </c>
      <c r="E4" s="179" t="s">
        <v>264</v>
      </c>
      <c r="F4" s="179" t="s">
        <v>265</v>
      </c>
      <c r="G4" s="179" t="s">
        <v>266</v>
      </c>
      <c r="H4" s="179" t="s">
        <v>267</v>
      </c>
      <c r="I4" s="179" t="s">
        <v>268</v>
      </c>
      <c r="J4" s="179" t="s">
        <v>269</v>
      </c>
      <c r="K4" s="180" t="s">
        <v>506</v>
      </c>
      <c r="L4" s="181" t="s">
        <v>658</v>
      </c>
      <c r="M4" s="181" t="s">
        <v>659</v>
      </c>
      <c r="N4" s="182" t="s">
        <v>507</v>
      </c>
      <c r="O4" s="180" t="s">
        <v>660</v>
      </c>
      <c r="P4" s="181" t="s">
        <v>661</v>
      </c>
      <c r="Q4" s="181" t="s">
        <v>662</v>
      </c>
      <c r="R4" s="381" t="s">
        <v>663</v>
      </c>
      <c r="S4" s="182" t="s">
        <v>400</v>
      </c>
      <c r="T4" s="382" t="s">
        <v>401</v>
      </c>
    </row>
    <row r="5" spans="1:20" ht="40.5" customHeight="1" x14ac:dyDescent="0.25">
      <c r="A5" s="965">
        <v>1</v>
      </c>
      <c r="B5" s="964" t="s">
        <v>4</v>
      </c>
      <c r="C5" s="966" t="s">
        <v>327</v>
      </c>
      <c r="D5" s="795" t="s">
        <v>664</v>
      </c>
      <c r="E5" s="977" t="s">
        <v>42</v>
      </c>
      <c r="F5" s="978" t="s">
        <v>6</v>
      </c>
      <c r="G5" s="979">
        <v>7683687</v>
      </c>
      <c r="H5" s="975" t="s">
        <v>508</v>
      </c>
      <c r="I5" s="964" t="s">
        <v>163</v>
      </c>
      <c r="J5" s="983" t="s">
        <v>160</v>
      </c>
      <c r="K5" s="873" t="s">
        <v>252</v>
      </c>
      <c r="L5" s="318">
        <v>5000</v>
      </c>
      <c r="M5" s="316">
        <f t="shared" ref="M5:M84" si="0">N5+O5</f>
        <v>5000</v>
      </c>
      <c r="N5" s="256">
        <v>5000</v>
      </c>
      <c r="O5" s="319"/>
      <c r="P5" s="315">
        <f t="shared" ref="P5:P86" si="1">M5/L5</f>
        <v>1</v>
      </c>
      <c r="Q5" s="868">
        <f>(M5+M6+M8)/G5</f>
        <v>7.8328281722043081E-3</v>
      </c>
      <c r="R5" s="851" t="s">
        <v>572</v>
      </c>
      <c r="S5" s="378">
        <f>T5/L5</f>
        <v>0</v>
      </c>
      <c r="T5" s="10">
        <f>L5-M5</f>
        <v>0</v>
      </c>
    </row>
    <row r="6" spans="1:20" ht="46.5" customHeight="1" x14ac:dyDescent="0.25">
      <c r="A6" s="804"/>
      <c r="B6" s="797"/>
      <c r="C6" s="797"/>
      <c r="D6" s="790"/>
      <c r="E6" s="897"/>
      <c r="F6" s="811"/>
      <c r="G6" s="951"/>
      <c r="H6" s="974"/>
      <c r="I6" s="797"/>
      <c r="J6" s="984"/>
      <c r="K6" s="858"/>
      <c r="L6" s="871">
        <v>5518441</v>
      </c>
      <c r="M6" s="869">
        <v>55185</v>
      </c>
      <c r="N6" s="822">
        <v>55185</v>
      </c>
      <c r="O6" s="985"/>
      <c r="P6" s="816">
        <f t="shared" si="1"/>
        <v>1.0000106914253501E-2</v>
      </c>
      <c r="Q6" s="817"/>
      <c r="R6" s="852"/>
      <c r="S6" s="376">
        <f t="shared" ref="S6:S55" si="2">T6/L6</f>
        <v>0.98999989308574654</v>
      </c>
      <c r="T6" s="5">
        <f t="shared" ref="T6:T55" si="3">L6-M6</f>
        <v>5463256</v>
      </c>
    </row>
    <row r="7" spans="1:20" ht="30.75" customHeight="1" x14ac:dyDescent="0.25">
      <c r="A7" s="804"/>
      <c r="B7" s="797"/>
      <c r="C7" s="797"/>
      <c r="D7" s="790"/>
      <c r="E7" s="897"/>
      <c r="F7" s="811"/>
      <c r="G7" s="951"/>
      <c r="H7" s="974"/>
      <c r="I7" s="797"/>
      <c r="J7" s="789"/>
      <c r="K7" s="858"/>
      <c r="L7" s="872"/>
      <c r="M7" s="870"/>
      <c r="N7" s="837"/>
      <c r="O7" s="986"/>
      <c r="P7" s="829"/>
      <c r="Q7" s="817"/>
      <c r="R7" s="852"/>
      <c r="S7" s="376"/>
      <c r="T7" s="5"/>
    </row>
    <row r="8" spans="1:20" ht="66.75" customHeight="1" x14ac:dyDescent="0.25">
      <c r="A8" s="804"/>
      <c r="B8" s="797"/>
      <c r="C8" s="797"/>
      <c r="D8" s="790"/>
      <c r="E8" s="897"/>
      <c r="F8" s="811"/>
      <c r="G8" s="951"/>
      <c r="H8" s="974"/>
      <c r="I8" s="797"/>
      <c r="J8" s="798" t="s">
        <v>147</v>
      </c>
      <c r="K8" s="858"/>
      <c r="L8" s="819">
        <v>576277</v>
      </c>
      <c r="M8" s="869">
        <v>0</v>
      </c>
      <c r="N8" s="822">
        <v>0</v>
      </c>
      <c r="O8" s="825"/>
      <c r="P8" s="816">
        <f t="shared" si="1"/>
        <v>0</v>
      </c>
      <c r="Q8" s="817"/>
      <c r="R8" s="852"/>
      <c r="S8" s="376">
        <f t="shared" si="2"/>
        <v>1</v>
      </c>
      <c r="T8" s="5">
        <f t="shared" si="3"/>
        <v>576277</v>
      </c>
    </row>
    <row r="9" spans="1:20" ht="156" customHeight="1" x14ac:dyDescent="0.25">
      <c r="A9" s="806"/>
      <c r="B9" s="789"/>
      <c r="C9" s="789"/>
      <c r="D9" s="789"/>
      <c r="E9" s="789"/>
      <c r="F9" s="898"/>
      <c r="G9" s="901"/>
      <c r="H9" s="955"/>
      <c r="I9" s="789"/>
      <c r="J9" s="789"/>
      <c r="K9" s="832"/>
      <c r="L9" s="821"/>
      <c r="M9" s="870"/>
      <c r="N9" s="837"/>
      <c r="O9" s="856"/>
      <c r="P9" s="829"/>
      <c r="Q9" s="829"/>
      <c r="R9" s="853"/>
      <c r="S9" s="376"/>
      <c r="T9" s="5"/>
    </row>
    <row r="10" spans="1:20" ht="132" customHeight="1" x14ac:dyDescent="0.25">
      <c r="A10" s="803">
        <v>2</v>
      </c>
      <c r="B10" s="807" t="s">
        <v>4</v>
      </c>
      <c r="C10" s="807" t="s">
        <v>177</v>
      </c>
      <c r="D10" s="788" t="s">
        <v>665</v>
      </c>
      <c r="E10" s="844" t="s">
        <v>43</v>
      </c>
      <c r="F10" s="810" t="s">
        <v>8</v>
      </c>
      <c r="G10" s="899">
        <v>98003445.049999997</v>
      </c>
      <c r="H10" s="976" t="s">
        <v>508</v>
      </c>
      <c r="I10" s="862" t="s">
        <v>176</v>
      </c>
      <c r="J10" s="184" t="s">
        <v>139</v>
      </c>
      <c r="K10" s="857" t="s">
        <v>404</v>
      </c>
      <c r="L10" s="185">
        <v>5731781</v>
      </c>
      <c r="M10" s="185">
        <f t="shared" si="0"/>
        <v>1464072</v>
      </c>
      <c r="N10" s="189">
        <v>1464072</v>
      </c>
      <c r="O10" s="190"/>
      <c r="P10" s="183">
        <f t="shared" si="1"/>
        <v>0.25543055465657183</v>
      </c>
      <c r="Q10" s="816">
        <f>(M10+M11+M12+M13+M14)/G10</f>
        <v>1.5624328300079489E-2</v>
      </c>
      <c r="R10" s="321" t="s">
        <v>573</v>
      </c>
      <c r="S10" s="376">
        <f t="shared" si="2"/>
        <v>0.74456944534342817</v>
      </c>
      <c r="T10" s="5">
        <f t="shared" si="3"/>
        <v>4267709</v>
      </c>
    </row>
    <row r="11" spans="1:20" ht="51" x14ac:dyDescent="0.25">
      <c r="A11" s="804"/>
      <c r="B11" s="797"/>
      <c r="C11" s="797"/>
      <c r="D11" s="790"/>
      <c r="E11" s="897"/>
      <c r="F11" s="811"/>
      <c r="G11" s="900"/>
      <c r="H11" s="974"/>
      <c r="I11" s="863"/>
      <c r="J11" s="184" t="s">
        <v>153</v>
      </c>
      <c r="K11" s="858"/>
      <c r="L11" s="185">
        <v>1464072</v>
      </c>
      <c r="M11" s="185">
        <f t="shared" si="0"/>
        <v>0</v>
      </c>
      <c r="N11" s="189">
        <v>0</v>
      </c>
      <c r="O11" s="190"/>
      <c r="P11" s="183">
        <f t="shared" si="1"/>
        <v>0</v>
      </c>
      <c r="Q11" s="817"/>
      <c r="R11" s="338" t="s">
        <v>574</v>
      </c>
      <c r="S11" s="376">
        <f t="shared" si="2"/>
        <v>1</v>
      </c>
      <c r="T11" s="5">
        <f>L11-M11</f>
        <v>1464072</v>
      </c>
    </row>
    <row r="12" spans="1:20" ht="56.25" customHeight="1" x14ac:dyDescent="0.25">
      <c r="A12" s="804"/>
      <c r="B12" s="797"/>
      <c r="C12" s="797"/>
      <c r="D12" s="790"/>
      <c r="E12" s="897"/>
      <c r="F12" s="811"/>
      <c r="G12" s="900"/>
      <c r="H12" s="974"/>
      <c r="I12" s="863"/>
      <c r="J12" s="236" t="s">
        <v>159</v>
      </c>
      <c r="K12" s="859"/>
      <c r="L12" s="185">
        <v>26492</v>
      </c>
      <c r="M12" s="185">
        <f t="shared" si="0"/>
        <v>26492</v>
      </c>
      <c r="N12" s="189">
        <v>26492</v>
      </c>
      <c r="O12" s="190"/>
      <c r="P12" s="183">
        <f t="shared" si="1"/>
        <v>1</v>
      </c>
      <c r="Q12" s="817"/>
      <c r="R12" s="321" t="s">
        <v>575</v>
      </c>
      <c r="S12" s="376">
        <f t="shared" si="2"/>
        <v>0</v>
      </c>
      <c r="T12" s="5">
        <f t="shared" si="3"/>
        <v>0</v>
      </c>
    </row>
    <row r="13" spans="1:20" ht="229.5" customHeight="1" x14ac:dyDescent="0.25">
      <c r="A13" s="804"/>
      <c r="B13" s="797"/>
      <c r="C13" s="797"/>
      <c r="D13" s="790"/>
      <c r="E13" s="897"/>
      <c r="F13" s="811"/>
      <c r="G13" s="900"/>
      <c r="H13" s="974"/>
      <c r="I13" s="863"/>
      <c r="J13" s="184" t="s">
        <v>139</v>
      </c>
      <c r="K13" s="801" t="s">
        <v>231</v>
      </c>
      <c r="L13" s="185">
        <v>81346508</v>
      </c>
      <c r="M13" s="185">
        <f t="shared" si="0"/>
        <v>40674</v>
      </c>
      <c r="N13" s="189">
        <v>40674</v>
      </c>
      <c r="O13" s="187"/>
      <c r="P13" s="183">
        <f t="shared" si="1"/>
        <v>5.0000917064565325E-4</v>
      </c>
      <c r="Q13" s="817"/>
      <c r="R13" s="340" t="s">
        <v>576</v>
      </c>
      <c r="S13" s="376">
        <f t="shared" si="2"/>
        <v>0.99949999082935437</v>
      </c>
      <c r="T13" s="5">
        <f t="shared" si="3"/>
        <v>81305834</v>
      </c>
    </row>
    <row r="14" spans="1:20" ht="141" x14ac:dyDescent="0.25">
      <c r="A14" s="806"/>
      <c r="B14" s="789"/>
      <c r="C14" s="789"/>
      <c r="D14" s="789"/>
      <c r="E14" s="789"/>
      <c r="F14" s="898"/>
      <c r="G14" s="901"/>
      <c r="H14" s="955"/>
      <c r="I14" s="789"/>
      <c r="J14" s="385" t="s">
        <v>402</v>
      </c>
      <c r="K14" s="832"/>
      <c r="L14" s="384">
        <v>40674</v>
      </c>
      <c r="M14" s="384">
        <v>0</v>
      </c>
      <c r="N14" s="189">
        <v>0</v>
      </c>
      <c r="O14" s="187"/>
      <c r="P14" s="383">
        <f t="shared" si="1"/>
        <v>0</v>
      </c>
      <c r="Q14" s="818"/>
      <c r="R14" s="340" t="s">
        <v>577</v>
      </c>
      <c r="S14" s="376"/>
      <c r="T14" s="5"/>
    </row>
    <row r="15" spans="1:20" ht="45" x14ac:dyDescent="0.25">
      <c r="A15" s="803">
        <v>3</v>
      </c>
      <c r="B15" s="807" t="s">
        <v>4</v>
      </c>
      <c r="C15" s="807" t="s">
        <v>158</v>
      </c>
      <c r="D15" s="788" t="s">
        <v>666</v>
      </c>
      <c r="E15" s="844" t="s">
        <v>44</v>
      </c>
      <c r="F15" s="810" t="s">
        <v>10</v>
      </c>
      <c r="G15" s="899">
        <v>19287791.43</v>
      </c>
      <c r="H15" s="976" t="s">
        <v>509</v>
      </c>
      <c r="I15" s="862" t="s">
        <v>243</v>
      </c>
      <c r="J15" s="184" t="s">
        <v>140</v>
      </c>
      <c r="K15" s="906" t="s">
        <v>244</v>
      </c>
      <c r="L15" s="185">
        <v>2667</v>
      </c>
      <c r="M15" s="185">
        <f t="shared" si="0"/>
        <v>2667</v>
      </c>
      <c r="N15" s="189">
        <v>2667</v>
      </c>
      <c r="O15" s="187"/>
      <c r="P15" s="183">
        <f t="shared" si="1"/>
        <v>1</v>
      </c>
      <c r="Q15" s="816">
        <f>(M15+M16+M17+M18+M19+M20+M21+M22)/G15</f>
        <v>1.0153103361300708E-2</v>
      </c>
      <c r="R15" s="679" t="s">
        <v>578</v>
      </c>
      <c r="S15" s="376">
        <f t="shared" si="2"/>
        <v>0</v>
      </c>
      <c r="T15" s="5">
        <f t="shared" si="3"/>
        <v>0</v>
      </c>
    </row>
    <row r="16" spans="1:20" ht="36" customHeight="1" x14ac:dyDescent="0.25">
      <c r="A16" s="804"/>
      <c r="B16" s="797"/>
      <c r="C16" s="797"/>
      <c r="D16" s="790"/>
      <c r="E16" s="897"/>
      <c r="F16" s="811"/>
      <c r="G16" s="900"/>
      <c r="H16" s="974"/>
      <c r="I16" s="863"/>
      <c r="J16" s="184" t="s">
        <v>154</v>
      </c>
      <c r="K16" s="859"/>
      <c r="L16" s="193">
        <v>514</v>
      </c>
      <c r="M16" s="185">
        <f t="shared" si="0"/>
        <v>514</v>
      </c>
      <c r="N16" s="194">
        <v>514</v>
      </c>
      <c r="O16" s="143"/>
      <c r="P16" s="183">
        <f t="shared" si="1"/>
        <v>1</v>
      </c>
      <c r="Q16" s="817"/>
      <c r="R16" s="679" t="s">
        <v>579</v>
      </c>
      <c r="S16" s="376">
        <f t="shared" si="2"/>
        <v>0</v>
      </c>
      <c r="T16" s="5">
        <f t="shared" si="3"/>
        <v>0</v>
      </c>
    </row>
    <row r="17" spans="1:20" x14ac:dyDescent="0.25">
      <c r="A17" s="804"/>
      <c r="B17" s="797"/>
      <c r="C17" s="797"/>
      <c r="D17" s="790"/>
      <c r="E17" s="897"/>
      <c r="F17" s="811"/>
      <c r="G17" s="900"/>
      <c r="H17" s="974"/>
      <c r="I17" s="863"/>
      <c r="J17" s="980" t="s">
        <v>140</v>
      </c>
      <c r="K17" s="906" t="s">
        <v>245</v>
      </c>
      <c r="L17" s="413">
        <v>84471</v>
      </c>
      <c r="M17" s="185">
        <f t="shared" si="0"/>
        <v>25.16</v>
      </c>
      <c r="N17" s="189">
        <v>25.16</v>
      </c>
      <c r="O17" s="825"/>
      <c r="P17" s="816">
        <f>(M17+M18)/L17</f>
        <v>1.2502982088527423</v>
      </c>
      <c r="Q17" s="817"/>
      <c r="R17" s="854" t="s">
        <v>580</v>
      </c>
      <c r="S17" s="376">
        <f t="shared" si="2"/>
        <v>0.99970214629872967</v>
      </c>
      <c r="T17" s="5">
        <f t="shared" si="3"/>
        <v>84445.84</v>
      </c>
    </row>
    <row r="18" spans="1:20" ht="111" customHeight="1" x14ac:dyDescent="0.25">
      <c r="A18" s="804"/>
      <c r="B18" s="797"/>
      <c r="C18" s="797"/>
      <c r="D18" s="790"/>
      <c r="E18" s="897"/>
      <c r="F18" s="811"/>
      <c r="G18" s="900"/>
      <c r="H18" s="974"/>
      <c r="I18" s="863"/>
      <c r="J18" s="980"/>
      <c r="K18" s="859"/>
      <c r="L18" s="413">
        <v>114985.28</v>
      </c>
      <c r="M18" s="185">
        <v>105588.78</v>
      </c>
      <c r="N18" s="189">
        <v>105588.78</v>
      </c>
      <c r="O18" s="856"/>
      <c r="P18" s="818"/>
      <c r="Q18" s="817"/>
      <c r="R18" s="855"/>
      <c r="S18" s="376">
        <f t="shared" si="2"/>
        <v>8.1719155704104041E-2</v>
      </c>
      <c r="T18" s="5">
        <f t="shared" si="3"/>
        <v>9396.5</v>
      </c>
    </row>
    <row r="19" spans="1:20" ht="197.25" customHeight="1" x14ac:dyDescent="0.25">
      <c r="A19" s="804"/>
      <c r="B19" s="797"/>
      <c r="C19" s="797"/>
      <c r="D19" s="790"/>
      <c r="E19" s="897"/>
      <c r="F19" s="811"/>
      <c r="G19" s="900"/>
      <c r="H19" s="974"/>
      <c r="I19" s="863"/>
      <c r="J19" s="184" t="s">
        <v>140</v>
      </c>
      <c r="K19" s="830" t="s">
        <v>241</v>
      </c>
      <c r="L19" s="193">
        <v>253214</v>
      </c>
      <c r="M19" s="185">
        <v>63304</v>
      </c>
      <c r="N19" s="194">
        <v>63304</v>
      </c>
      <c r="O19" s="143"/>
      <c r="P19" s="183">
        <f t="shared" si="1"/>
        <v>0.2500019746143578</v>
      </c>
      <c r="Q19" s="817"/>
      <c r="R19" s="679" t="s">
        <v>581</v>
      </c>
      <c r="S19" s="376">
        <f t="shared" si="2"/>
        <v>0.7499980253856422</v>
      </c>
      <c r="T19" s="5">
        <f t="shared" si="3"/>
        <v>189910</v>
      </c>
    </row>
    <row r="20" spans="1:20" ht="102" x14ac:dyDescent="0.25">
      <c r="A20" s="804"/>
      <c r="B20" s="797"/>
      <c r="C20" s="797"/>
      <c r="D20" s="790"/>
      <c r="E20" s="897"/>
      <c r="F20" s="811"/>
      <c r="G20" s="900"/>
      <c r="H20" s="974"/>
      <c r="I20" s="863"/>
      <c r="J20" s="184" t="s">
        <v>154</v>
      </c>
      <c r="K20" s="802"/>
      <c r="L20" s="193">
        <v>246056</v>
      </c>
      <c r="M20" s="185">
        <v>10930</v>
      </c>
      <c r="N20" s="194">
        <v>10930</v>
      </c>
      <c r="O20" s="143"/>
      <c r="P20" s="183">
        <f t="shared" si="1"/>
        <v>4.4420782260948727E-2</v>
      </c>
      <c r="Q20" s="817"/>
      <c r="R20" s="679" t="s">
        <v>582</v>
      </c>
      <c r="S20" s="376">
        <f t="shared" si="2"/>
        <v>0.9555792177390513</v>
      </c>
      <c r="T20" s="5">
        <f t="shared" si="3"/>
        <v>235126</v>
      </c>
    </row>
    <row r="21" spans="1:20" ht="57" x14ac:dyDescent="0.25">
      <c r="A21" s="804"/>
      <c r="B21" s="797"/>
      <c r="C21" s="797"/>
      <c r="D21" s="790"/>
      <c r="E21" s="897"/>
      <c r="F21" s="811"/>
      <c r="G21" s="900"/>
      <c r="H21" s="974"/>
      <c r="I21" s="863"/>
      <c r="J21" s="184" t="s">
        <v>155</v>
      </c>
      <c r="K21" s="191" t="s">
        <v>242</v>
      </c>
      <c r="L21" s="193">
        <v>2796</v>
      </c>
      <c r="M21" s="185">
        <f t="shared" si="0"/>
        <v>2796</v>
      </c>
      <c r="N21" s="194">
        <v>2796</v>
      </c>
      <c r="O21" s="143"/>
      <c r="P21" s="183">
        <f t="shared" si="1"/>
        <v>1</v>
      </c>
      <c r="Q21" s="817"/>
      <c r="R21" s="679" t="s">
        <v>583</v>
      </c>
      <c r="S21" s="376">
        <f t="shared" si="2"/>
        <v>0</v>
      </c>
      <c r="T21" s="5">
        <f t="shared" si="3"/>
        <v>0</v>
      </c>
    </row>
    <row r="22" spans="1:20" ht="316.5" customHeight="1" x14ac:dyDescent="0.25">
      <c r="A22" s="804"/>
      <c r="B22" s="797"/>
      <c r="C22" s="797"/>
      <c r="D22" s="790"/>
      <c r="E22" s="897"/>
      <c r="F22" s="811"/>
      <c r="G22" s="900"/>
      <c r="H22" s="974"/>
      <c r="I22" s="863"/>
      <c r="J22" s="184" t="s">
        <v>140</v>
      </c>
      <c r="K22" s="973" t="s">
        <v>337</v>
      </c>
      <c r="L22" s="185">
        <v>2400910</v>
      </c>
      <c r="M22" s="185">
        <f t="shared" si="0"/>
        <v>10006</v>
      </c>
      <c r="N22" s="194">
        <v>10006</v>
      </c>
      <c r="O22" s="314"/>
      <c r="P22" s="183">
        <f t="shared" si="1"/>
        <v>4.1675864568017961E-3</v>
      </c>
      <c r="Q22" s="818"/>
      <c r="R22" s="321" t="s">
        <v>514</v>
      </c>
      <c r="S22" s="376">
        <f t="shared" si="2"/>
        <v>0.99583241354319818</v>
      </c>
      <c r="T22" s="5">
        <f t="shared" si="3"/>
        <v>2390904</v>
      </c>
    </row>
    <row r="23" spans="1:20" ht="282.75" customHeight="1" x14ac:dyDescent="0.25">
      <c r="A23" s="806"/>
      <c r="B23" s="789"/>
      <c r="C23" s="789"/>
      <c r="D23" s="789"/>
      <c r="E23" s="789"/>
      <c r="F23" s="898"/>
      <c r="G23" s="901"/>
      <c r="H23" s="955"/>
      <c r="I23" s="789"/>
      <c r="J23" s="468" t="s">
        <v>147</v>
      </c>
      <c r="K23" s="832"/>
      <c r="L23" s="413">
        <v>10006</v>
      </c>
      <c r="M23" s="413">
        <v>10006</v>
      </c>
      <c r="N23" s="194">
        <v>10006</v>
      </c>
      <c r="O23" s="314"/>
      <c r="P23" s="458">
        <f t="shared" si="1"/>
        <v>1</v>
      </c>
      <c r="Q23" s="459">
        <f>SUM(M23/G15)</f>
        <v>5.1877375573632491E-4</v>
      </c>
      <c r="R23" s="321" t="s">
        <v>520</v>
      </c>
      <c r="S23" s="376"/>
      <c r="T23" s="5"/>
    </row>
    <row r="24" spans="1:20" ht="51" x14ac:dyDescent="0.25">
      <c r="A24" s="803">
        <v>4</v>
      </c>
      <c r="B24" s="807" t="s">
        <v>4</v>
      </c>
      <c r="C24" s="807" t="s">
        <v>178</v>
      </c>
      <c r="D24" s="788" t="s">
        <v>666</v>
      </c>
      <c r="E24" s="844" t="s">
        <v>45</v>
      </c>
      <c r="F24" s="810" t="s">
        <v>10</v>
      </c>
      <c r="G24" s="899">
        <v>6805967.21</v>
      </c>
      <c r="H24" s="976" t="s">
        <v>509</v>
      </c>
      <c r="I24" s="862" t="s">
        <v>243</v>
      </c>
      <c r="J24" s="184" t="s">
        <v>140</v>
      </c>
      <c r="K24" s="907" t="s">
        <v>246</v>
      </c>
      <c r="L24" s="185">
        <v>5610</v>
      </c>
      <c r="M24" s="185">
        <f t="shared" si="0"/>
        <v>0</v>
      </c>
      <c r="N24" s="189">
        <v>0</v>
      </c>
      <c r="O24" s="187"/>
      <c r="P24" s="183">
        <f t="shared" si="1"/>
        <v>0</v>
      </c>
      <c r="Q24" s="816">
        <f>(M24+M25+M26+M27+M28+M29+M30+M31+M32)/G24</f>
        <v>4.5645239010782719E-3</v>
      </c>
      <c r="R24" s="679" t="s">
        <v>584</v>
      </c>
      <c r="S24" s="376">
        <f t="shared" si="2"/>
        <v>1</v>
      </c>
      <c r="T24" s="5">
        <f t="shared" si="3"/>
        <v>5610</v>
      </c>
    </row>
    <row r="25" spans="1:20" ht="51" x14ac:dyDescent="0.25">
      <c r="A25" s="804"/>
      <c r="B25" s="797"/>
      <c r="C25" s="797"/>
      <c r="D25" s="790"/>
      <c r="E25" s="897"/>
      <c r="F25" s="811"/>
      <c r="G25" s="900"/>
      <c r="H25" s="974"/>
      <c r="I25" s="863"/>
      <c r="J25" s="184" t="s">
        <v>154</v>
      </c>
      <c r="K25" s="908"/>
      <c r="L25" s="193">
        <v>1356</v>
      </c>
      <c r="M25" s="185">
        <f t="shared" si="0"/>
        <v>0</v>
      </c>
      <c r="N25" s="194">
        <v>0</v>
      </c>
      <c r="O25" s="143"/>
      <c r="P25" s="183">
        <f t="shared" si="1"/>
        <v>0</v>
      </c>
      <c r="Q25" s="817"/>
      <c r="R25" s="679" t="s">
        <v>585</v>
      </c>
      <c r="S25" s="376">
        <f t="shared" si="2"/>
        <v>1</v>
      </c>
      <c r="T25" s="5">
        <f t="shared" si="3"/>
        <v>1356</v>
      </c>
    </row>
    <row r="26" spans="1:20" ht="51" x14ac:dyDescent="0.25">
      <c r="A26" s="804"/>
      <c r="B26" s="797"/>
      <c r="C26" s="797"/>
      <c r="D26" s="790"/>
      <c r="E26" s="897"/>
      <c r="F26" s="811"/>
      <c r="G26" s="900"/>
      <c r="H26" s="974"/>
      <c r="I26" s="863"/>
      <c r="J26" s="184" t="s">
        <v>140</v>
      </c>
      <c r="K26" s="907" t="s">
        <v>246</v>
      </c>
      <c r="L26" s="193">
        <v>6317</v>
      </c>
      <c r="M26" s="185">
        <f t="shared" si="0"/>
        <v>0</v>
      </c>
      <c r="N26" s="194">
        <v>0</v>
      </c>
      <c r="O26" s="143"/>
      <c r="P26" s="183">
        <f t="shared" si="1"/>
        <v>0</v>
      </c>
      <c r="Q26" s="817"/>
      <c r="R26" s="679" t="s">
        <v>586</v>
      </c>
      <c r="S26" s="376">
        <f t="shared" si="2"/>
        <v>1</v>
      </c>
      <c r="T26" s="5">
        <f t="shared" si="3"/>
        <v>6317</v>
      </c>
    </row>
    <row r="27" spans="1:20" ht="51" x14ac:dyDescent="0.25">
      <c r="A27" s="804"/>
      <c r="B27" s="797"/>
      <c r="C27" s="797"/>
      <c r="D27" s="790"/>
      <c r="E27" s="897"/>
      <c r="F27" s="811"/>
      <c r="G27" s="900"/>
      <c r="H27" s="974"/>
      <c r="I27" s="863"/>
      <c r="J27" s="184" t="s">
        <v>154</v>
      </c>
      <c r="K27" s="908"/>
      <c r="L27" s="193">
        <v>1760</v>
      </c>
      <c r="M27" s="185">
        <f t="shared" si="0"/>
        <v>0</v>
      </c>
      <c r="N27" s="194">
        <v>0</v>
      </c>
      <c r="O27" s="143"/>
      <c r="P27" s="183">
        <f t="shared" si="1"/>
        <v>0</v>
      </c>
      <c r="Q27" s="817"/>
      <c r="R27" s="679" t="s">
        <v>587</v>
      </c>
      <c r="S27" s="376">
        <f t="shared" si="2"/>
        <v>1</v>
      </c>
      <c r="T27" s="5">
        <f t="shared" si="3"/>
        <v>1760</v>
      </c>
    </row>
    <row r="28" spans="1:20" ht="87" x14ac:dyDescent="0.25">
      <c r="A28" s="804"/>
      <c r="B28" s="797"/>
      <c r="C28" s="797"/>
      <c r="D28" s="790"/>
      <c r="E28" s="897"/>
      <c r="F28" s="811"/>
      <c r="G28" s="900"/>
      <c r="H28" s="974"/>
      <c r="I28" s="863"/>
      <c r="J28" s="184" t="s">
        <v>140</v>
      </c>
      <c r="K28" s="907" t="s">
        <v>247</v>
      </c>
      <c r="L28" s="185">
        <v>203970</v>
      </c>
      <c r="M28" s="185">
        <f t="shared" si="0"/>
        <v>1020</v>
      </c>
      <c r="N28" s="189">
        <v>1020</v>
      </c>
      <c r="O28" s="187"/>
      <c r="P28" s="183">
        <f t="shared" si="1"/>
        <v>5.0007354022650391E-3</v>
      </c>
      <c r="Q28" s="817"/>
      <c r="R28" s="679" t="s">
        <v>588</v>
      </c>
      <c r="S28" s="376">
        <f t="shared" si="2"/>
        <v>0.99499926459773491</v>
      </c>
      <c r="T28" s="5">
        <f t="shared" si="3"/>
        <v>202950</v>
      </c>
    </row>
    <row r="29" spans="1:20" ht="51" x14ac:dyDescent="0.25">
      <c r="A29" s="804"/>
      <c r="B29" s="797"/>
      <c r="C29" s="797"/>
      <c r="D29" s="790"/>
      <c r="E29" s="897"/>
      <c r="F29" s="811"/>
      <c r="G29" s="900"/>
      <c r="H29" s="974"/>
      <c r="I29" s="863"/>
      <c r="J29" s="184" t="s">
        <v>154</v>
      </c>
      <c r="K29" s="908"/>
      <c r="L29" s="193">
        <v>62628</v>
      </c>
      <c r="M29" s="185">
        <f t="shared" si="0"/>
        <v>0</v>
      </c>
      <c r="N29" s="194">
        <v>0</v>
      </c>
      <c r="O29" s="143"/>
      <c r="P29" s="183">
        <f t="shared" si="1"/>
        <v>0</v>
      </c>
      <c r="Q29" s="817"/>
      <c r="R29" s="679" t="s">
        <v>589</v>
      </c>
      <c r="S29" s="376">
        <f t="shared" si="2"/>
        <v>1</v>
      </c>
      <c r="T29" s="5">
        <f t="shared" si="3"/>
        <v>62628</v>
      </c>
    </row>
    <row r="30" spans="1:20" ht="222" x14ac:dyDescent="0.25">
      <c r="A30" s="804"/>
      <c r="B30" s="797"/>
      <c r="C30" s="797"/>
      <c r="D30" s="790"/>
      <c r="E30" s="897"/>
      <c r="F30" s="811"/>
      <c r="G30" s="900"/>
      <c r="H30" s="974"/>
      <c r="I30" s="863"/>
      <c r="J30" s="184" t="s">
        <v>146</v>
      </c>
      <c r="K30" s="801" t="s">
        <v>241</v>
      </c>
      <c r="L30" s="185">
        <v>54643</v>
      </c>
      <c r="M30" s="185">
        <v>13661</v>
      </c>
      <c r="N30" s="194">
        <v>13661</v>
      </c>
      <c r="O30" s="187"/>
      <c r="P30" s="183">
        <f t="shared" si="1"/>
        <v>0.25000457515143754</v>
      </c>
      <c r="Q30" s="817"/>
      <c r="R30" s="679" t="s">
        <v>590</v>
      </c>
      <c r="S30" s="376">
        <f t="shared" si="2"/>
        <v>0.74999542484856252</v>
      </c>
      <c r="T30" s="5">
        <f t="shared" si="3"/>
        <v>40982</v>
      </c>
    </row>
    <row r="31" spans="1:20" ht="102" x14ac:dyDescent="0.25">
      <c r="A31" s="804"/>
      <c r="B31" s="797"/>
      <c r="C31" s="797"/>
      <c r="D31" s="790"/>
      <c r="E31" s="897"/>
      <c r="F31" s="811"/>
      <c r="G31" s="900"/>
      <c r="H31" s="974"/>
      <c r="I31" s="863"/>
      <c r="J31" s="184" t="s">
        <v>154</v>
      </c>
      <c r="K31" s="802"/>
      <c r="L31" s="193">
        <v>54643</v>
      </c>
      <c r="M31" s="185">
        <v>2536</v>
      </c>
      <c r="N31" s="194">
        <v>2536</v>
      </c>
      <c r="O31" s="143"/>
      <c r="P31" s="183">
        <f t="shared" si="1"/>
        <v>4.6410336182127629E-2</v>
      </c>
      <c r="Q31" s="817"/>
      <c r="R31" s="679" t="s">
        <v>591</v>
      </c>
      <c r="S31" s="376">
        <f t="shared" si="2"/>
        <v>0.95358966381787236</v>
      </c>
      <c r="T31" s="5">
        <f t="shared" si="3"/>
        <v>52107</v>
      </c>
    </row>
    <row r="32" spans="1:20" ht="309.75" customHeight="1" x14ac:dyDescent="0.25">
      <c r="A32" s="804"/>
      <c r="B32" s="797"/>
      <c r="C32" s="797"/>
      <c r="D32" s="790"/>
      <c r="E32" s="897"/>
      <c r="F32" s="811"/>
      <c r="G32" s="900"/>
      <c r="H32" s="974"/>
      <c r="I32" s="863"/>
      <c r="J32" s="184" t="s">
        <v>146</v>
      </c>
      <c r="K32" s="907" t="s">
        <v>338</v>
      </c>
      <c r="L32" s="185">
        <v>474280.44</v>
      </c>
      <c r="M32" s="185">
        <f t="shared" si="0"/>
        <v>13849</v>
      </c>
      <c r="N32" s="194">
        <v>13849</v>
      </c>
      <c r="O32" s="314"/>
      <c r="P32" s="183">
        <f t="shared" si="1"/>
        <v>2.9200023513514493E-2</v>
      </c>
      <c r="Q32" s="818"/>
      <c r="R32" s="321" t="s">
        <v>515</v>
      </c>
      <c r="S32" s="376">
        <f t="shared" si="2"/>
        <v>0.97079997648648553</v>
      </c>
      <c r="T32" s="5">
        <f t="shared" si="3"/>
        <v>460431.44</v>
      </c>
    </row>
    <row r="33" spans="1:20" ht="298.5" customHeight="1" x14ac:dyDescent="0.25">
      <c r="A33" s="806"/>
      <c r="B33" s="789"/>
      <c r="C33" s="789"/>
      <c r="D33" s="789"/>
      <c r="E33" s="789"/>
      <c r="F33" s="898"/>
      <c r="G33" s="901"/>
      <c r="H33" s="955"/>
      <c r="I33" s="789"/>
      <c r="J33" s="469" t="s">
        <v>449</v>
      </c>
      <c r="K33" s="996"/>
      <c r="L33" s="413">
        <v>13849</v>
      </c>
      <c r="M33" s="413">
        <v>13849</v>
      </c>
      <c r="N33" s="194">
        <v>13849</v>
      </c>
      <c r="O33" s="314"/>
      <c r="P33" s="467">
        <f t="shared" si="1"/>
        <v>1</v>
      </c>
      <c r="Q33" s="541">
        <f>SUM(M33/G24)</f>
        <v>2.0348320191216438E-3</v>
      </c>
      <c r="R33" s="321" t="s">
        <v>519</v>
      </c>
      <c r="S33" s="376"/>
      <c r="T33" s="5"/>
    </row>
    <row r="34" spans="1:20" ht="45" x14ac:dyDescent="0.25">
      <c r="A34" s="803">
        <v>5</v>
      </c>
      <c r="B34" s="807" t="s">
        <v>4</v>
      </c>
      <c r="C34" s="807" t="s">
        <v>179</v>
      </c>
      <c r="D34" s="788" t="s">
        <v>666</v>
      </c>
      <c r="E34" s="844" t="s">
        <v>45</v>
      </c>
      <c r="F34" s="810" t="s">
        <v>10</v>
      </c>
      <c r="G34" s="899">
        <v>6348047.6299999999</v>
      </c>
      <c r="H34" s="976" t="s">
        <v>509</v>
      </c>
      <c r="I34" s="862" t="s">
        <v>243</v>
      </c>
      <c r="J34" s="184" t="s">
        <v>160</v>
      </c>
      <c r="K34" s="195" t="s">
        <v>247</v>
      </c>
      <c r="L34" s="193">
        <v>66</v>
      </c>
      <c r="M34" s="185">
        <f t="shared" si="0"/>
        <v>66</v>
      </c>
      <c r="N34" s="194">
        <v>66</v>
      </c>
      <c r="O34" s="143"/>
      <c r="P34" s="183">
        <f t="shared" si="1"/>
        <v>1</v>
      </c>
      <c r="Q34" s="816">
        <f>(M34+M35+M36+M37+M38)/G34</f>
        <v>9.9124587066149655E-2</v>
      </c>
      <c r="R34" s="321" t="s">
        <v>592</v>
      </c>
      <c r="S34" s="376">
        <f t="shared" si="2"/>
        <v>0</v>
      </c>
      <c r="T34" s="5">
        <f t="shared" si="3"/>
        <v>0</v>
      </c>
    </row>
    <row r="35" spans="1:20" ht="162" x14ac:dyDescent="0.25">
      <c r="A35" s="804"/>
      <c r="B35" s="797"/>
      <c r="C35" s="797"/>
      <c r="D35" s="790"/>
      <c r="E35" s="897"/>
      <c r="F35" s="811"/>
      <c r="G35" s="900"/>
      <c r="H35" s="974"/>
      <c r="I35" s="863"/>
      <c r="J35" s="184" t="s">
        <v>160</v>
      </c>
      <c r="K35" s="801" t="s">
        <v>241</v>
      </c>
      <c r="L35" s="193">
        <v>54937</v>
      </c>
      <c r="M35" s="185">
        <v>13734</v>
      </c>
      <c r="N35" s="194">
        <v>13734</v>
      </c>
      <c r="O35" s="143"/>
      <c r="P35" s="183">
        <f t="shared" si="1"/>
        <v>0.24999544933287221</v>
      </c>
      <c r="Q35" s="866"/>
      <c r="R35" s="321" t="s">
        <v>593</v>
      </c>
      <c r="S35" s="376">
        <f t="shared" si="2"/>
        <v>0.75000455066712779</v>
      </c>
      <c r="T35" s="5">
        <f t="shared" si="3"/>
        <v>41203</v>
      </c>
    </row>
    <row r="36" spans="1:20" ht="107.25" customHeight="1" x14ac:dyDescent="0.25">
      <c r="A36" s="804"/>
      <c r="B36" s="797"/>
      <c r="C36" s="797"/>
      <c r="D36" s="790"/>
      <c r="E36" s="897"/>
      <c r="F36" s="811"/>
      <c r="G36" s="900"/>
      <c r="H36" s="974"/>
      <c r="I36" s="863"/>
      <c r="J36" s="184" t="s">
        <v>154</v>
      </c>
      <c r="K36" s="802"/>
      <c r="L36" s="193">
        <v>54937</v>
      </c>
      <c r="M36" s="185">
        <v>2550</v>
      </c>
      <c r="N36" s="194">
        <v>2550</v>
      </c>
      <c r="O36" s="143"/>
      <c r="P36" s="183">
        <f t="shared" si="1"/>
        <v>4.6416804703569542E-2</v>
      </c>
      <c r="Q36" s="866"/>
      <c r="R36" s="321" t="s">
        <v>594</v>
      </c>
      <c r="S36" s="376">
        <f t="shared" si="2"/>
        <v>0.95358319529643043</v>
      </c>
      <c r="T36" s="5">
        <f t="shared" si="3"/>
        <v>52387</v>
      </c>
    </row>
    <row r="37" spans="1:20" ht="31.5" customHeight="1" x14ac:dyDescent="0.25">
      <c r="A37" s="804"/>
      <c r="B37" s="797"/>
      <c r="C37" s="797"/>
      <c r="D37" s="790"/>
      <c r="E37" s="897"/>
      <c r="F37" s="811"/>
      <c r="G37" s="900"/>
      <c r="H37" s="974"/>
      <c r="I37" s="863"/>
      <c r="J37" s="860" t="s">
        <v>441</v>
      </c>
      <c r="K37" s="907" t="s">
        <v>339</v>
      </c>
      <c r="L37" s="819">
        <v>672878.4</v>
      </c>
      <c r="M37" s="185">
        <f>SUM(N37+O37)</f>
        <v>597901.6</v>
      </c>
      <c r="N37" s="320"/>
      <c r="O37" s="216">
        <v>597901.6</v>
      </c>
      <c r="P37" s="816">
        <f>(M37+M38)/L37</f>
        <v>0.91085937667192163</v>
      </c>
      <c r="Q37" s="866"/>
      <c r="R37" s="864" t="s">
        <v>595</v>
      </c>
      <c r="S37" s="376">
        <f t="shared" si="2"/>
        <v>0.11142696808219739</v>
      </c>
      <c r="T37" s="5">
        <f t="shared" si="3"/>
        <v>74976.800000000047</v>
      </c>
    </row>
    <row r="38" spans="1:20" ht="352.5" customHeight="1" x14ac:dyDescent="0.25">
      <c r="A38" s="805"/>
      <c r="B38" s="790"/>
      <c r="C38" s="790"/>
      <c r="D38" s="790"/>
      <c r="E38" s="790"/>
      <c r="F38" s="969"/>
      <c r="G38" s="933"/>
      <c r="H38" s="974"/>
      <c r="I38" s="790"/>
      <c r="J38" s="861"/>
      <c r="K38" s="997"/>
      <c r="L38" s="821"/>
      <c r="M38" s="413">
        <f t="shared" si="0"/>
        <v>14996</v>
      </c>
      <c r="N38" s="194">
        <v>14996</v>
      </c>
      <c r="O38" s="314"/>
      <c r="P38" s="818"/>
      <c r="Q38" s="867"/>
      <c r="R38" s="865"/>
      <c r="S38" s="376"/>
      <c r="T38" s="5"/>
    </row>
    <row r="39" spans="1:20" ht="296.25" customHeight="1" x14ac:dyDescent="0.25">
      <c r="A39" s="806"/>
      <c r="B39" s="789"/>
      <c r="C39" s="789"/>
      <c r="D39" s="789"/>
      <c r="E39" s="789"/>
      <c r="F39" s="898"/>
      <c r="G39" s="901"/>
      <c r="H39" s="955"/>
      <c r="I39" s="789"/>
      <c r="J39" s="470" t="s">
        <v>147</v>
      </c>
      <c r="K39" s="832"/>
      <c r="L39" s="471">
        <v>14996</v>
      </c>
      <c r="M39" s="413">
        <v>14996</v>
      </c>
      <c r="N39" s="194">
        <v>14996</v>
      </c>
      <c r="O39" s="314"/>
      <c r="P39" s="467">
        <f>M39/L39</f>
        <v>1</v>
      </c>
      <c r="Q39" s="544">
        <f>M39/G34</f>
        <v>2.3623011158786784E-3</v>
      </c>
      <c r="R39" s="340" t="s">
        <v>518</v>
      </c>
      <c r="S39" s="376"/>
      <c r="T39" s="5"/>
    </row>
    <row r="40" spans="1:20" ht="165" customHeight="1" x14ac:dyDescent="0.25">
      <c r="A40" s="311">
        <v>6</v>
      </c>
      <c r="B40" s="196" t="s">
        <v>4</v>
      </c>
      <c r="C40" s="196" t="s">
        <v>180</v>
      </c>
      <c r="D40" s="719" t="s">
        <v>665</v>
      </c>
      <c r="E40" s="197" t="s">
        <v>46</v>
      </c>
      <c r="F40" s="198" t="s">
        <v>8</v>
      </c>
      <c r="G40" s="199">
        <v>67542348.040000007</v>
      </c>
      <c r="H40" s="556" t="s">
        <v>72</v>
      </c>
      <c r="I40" s="200" t="s">
        <v>165</v>
      </c>
      <c r="J40" s="184" t="s">
        <v>139</v>
      </c>
      <c r="K40" s="255" t="s">
        <v>232</v>
      </c>
      <c r="L40" s="185">
        <v>5787124.75</v>
      </c>
      <c r="M40" s="185">
        <f t="shared" si="0"/>
        <v>5759375</v>
      </c>
      <c r="N40" s="320">
        <v>5759375</v>
      </c>
      <c r="O40" s="187"/>
      <c r="P40" s="183">
        <f t="shared" si="1"/>
        <v>0.99520491587813098</v>
      </c>
      <c r="Q40" s="542">
        <f>M40/G40</f>
        <v>8.5270577158335928E-2</v>
      </c>
      <c r="R40" s="321" t="s">
        <v>693</v>
      </c>
      <c r="S40" s="376">
        <f t="shared" si="2"/>
        <v>4.7950841218689817E-3</v>
      </c>
      <c r="T40" s="5">
        <f t="shared" si="3"/>
        <v>27749.75</v>
      </c>
    </row>
    <row r="41" spans="1:20" ht="178.5" customHeight="1" x14ac:dyDescent="0.25">
      <c r="A41" s="311">
        <v>7</v>
      </c>
      <c r="B41" s="196" t="s">
        <v>4</v>
      </c>
      <c r="C41" s="196" t="s">
        <v>181</v>
      </c>
      <c r="D41" s="719" t="s">
        <v>665</v>
      </c>
      <c r="E41" s="197" t="s">
        <v>47</v>
      </c>
      <c r="F41" s="198" t="s">
        <v>8</v>
      </c>
      <c r="G41" s="199">
        <v>109809294.19</v>
      </c>
      <c r="H41" s="556" t="s">
        <v>72</v>
      </c>
      <c r="I41" s="200" t="s">
        <v>165</v>
      </c>
      <c r="J41" s="184" t="s">
        <v>139</v>
      </c>
      <c r="K41" s="191" t="s">
        <v>232</v>
      </c>
      <c r="L41" s="185">
        <v>4715937.32</v>
      </c>
      <c r="M41" s="185">
        <f t="shared" si="0"/>
        <v>4711313</v>
      </c>
      <c r="N41" s="320">
        <v>4711313</v>
      </c>
      <c r="O41" s="187"/>
      <c r="P41" s="183">
        <f t="shared" si="1"/>
        <v>0.9990194271708428</v>
      </c>
      <c r="Q41" s="183">
        <f>M41/G41</f>
        <v>4.2904501251489195E-2</v>
      </c>
      <c r="R41" s="321" t="s">
        <v>516</v>
      </c>
      <c r="S41" s="376">
        <f t="shared" si="2"/>
        <v>9.8057282915717334E-4</v>
      </c>
      <c r="T41" s="5">
        <f t="shared" si="3"/>
        <v>4624.320000000298</v>
      </c>
    </row>
    <row r="42" spans="1:20" ht="34.5" customHeight="1" x14ac:dyDescent="0.25">
      <c r="A42" s="803">
        <v>8</v>
      </c>
      <c r="B42" s="807" t="s">
        <v>4</v>
      </c>
      <c r="C42" s="807" t="s">
        <v>182</v>
      </c>
      <c r="D42" s="788" t="s">
        <v>667</v>
      </c>
      <c r="E42" s="807" t="s">
        <v>48</v>
      </c>
      <c r="F42" s="807" t="s">
        <v>16</v>
      </c>
      <c r="G42" s="970">
        <v>5213341.5599999996</v>
      </c>
      <c r="H42" s="990" t="s">
        <v>510</v>
      </c>
      <c r="I42" s="807" t="s">
        <v>250</v>
      </c>
      <c r="J42" s="798" t="s">
        <v>140</v>
      </c>
      <c r="K42" s="830" t="s">
        <v>429</v>
      </c>
      <c r="L42" s="819">
        <v>3263660</v>
      </c>
      <c r="M42" s="819">
        <f t="shared" si="0"/>
        <v>979098</v>
      </c>
      <c r="N42" s="822">
        <v>979098</v>
      </c>
      <c r="O42" s="825">
        <v>0</v>
      </c>
      <c r="P42" s="816">
        <f t="shared" si="1"/>
        <v>0.3</v>
      </c>
      <c r="Q42" s="816">
        <f>(M42+M46)/G42</f>
        <v>0.1941361386649679</v>
      </c>
      <c r="R42" s="833" t="s">
        <v>700</v>
      </c>
      <c r="S42" s="376">
        <f t="shared" si="2"/>
        <v>0.7</v>
      </c>
      <c r="T42" s="5">
        <f t="shared" si="3"/>
        <v>2284562</v>
      </c>
    </row>
    <row r="43" spans="1:20" ht="409.6" customHeight="1" x14ac:dyDescent="0.25">
      <c r="A43" s="804"/>
      <c r="B43" s="797"/>
      <c r="C43" s="797"/>
      <c r="D43" s="790"/>
      <c r="E43" s="797"/>
      <c r="F43" s="797"/>
      <c r="G43" s="971"/>
      <c r="H43" s="991"/>
      <c r="I43" s="797"/>
      <c r="J43" s="790"/>
      <c r="K43" s="831"/>
      <c r="L43" s="820"/>
      <c r="M43" s="820"/>
      <c r="N43" s="823"/>
      <c r="O43" s="826"/>
      <c r="P43" s="828"/>
      <c r="Q43" s="817"/>
      <c r="R43" s="834"/>
      <c r="S43" s="376"/>
      <c r="T43" s="5"/>
    </row>
    <row r="44" spans="1:20" ht="113.25" customHeight="1" x14ac:dyDescent="0.25">
      <c r="A44" s="804"/>
      <c r="B44" s="797"/>
      <c r="C44" s="797"/>
      <c r="D44" s="790"/>
      <c r="E44" s="797"/>
      <c r="F44" s="797"/>
      <c r="G44" s="971"/>
      <c r="H44" s="991"/>
      <c r="I44" s="797"/>
      <c r="J44" s="789"/>
      <c r="K44" s="831"/>
      <c r="L44" s="821"/>
      <c r="M44" s="821"/>
      <c r="N44" s="824"/>
      <c r="O44" s="827"/>
      <c r="P44" s="829"/>
      <c r="Q44" s="817"/>
      <c r="R44" s="834"/>
      <c r="S44" s="376"/>
      <c r="T44" s="5"/>
    </row>
    <row r="45" spans="1:20" ht="113.25" customHeight="1" x14ac:dyDescent="0.25">
      <c r="A45" s="804"/>
      <c r="B45" s="797"/>
      <c r="C45" s="797"/>
      <c r="D45" s="790"/>
      <c r="E45" s="797"/>
      <c r="F45" s="797"/>
      <c r="G45" s="971"/>
      <c r="H45" s="991"/>
      <c r="I45" s="797"/>
      <c r="J45" s="738" t="s">
        <v>147</v>
      </c>
      <c r="K45" s="832"/>
      <c r="L45" s="471">
        <v>979098</v>
      </c>
      <c r="M45" s="471">
        <v>979098</v>
      </c>
      <c r="N45" s="537">
        <v>979098</v>
      </c>
      <c r="O45" s="739">
        <v>0</v>
      </c>
      <c r="P45" s="544">
        <f>SUM(M45/L45)</f>
        <v>1</v>
      </c>
      <c r="Q45" s="817"/>
      <c r="R45" s="835"/>
      <c r="S45" s="376"/>
      <c r="T45" s="5"/>
    </row>
    <row r="46" spans="1:20" ht="276.75" customHeight="1" x14ac:dyDescent="0.25">
      <c r="A46" s="809"/>
      <c r="B46" s="808"/>
      <c r="C46" s="808"/>
      <c r="D46" s="789"/>
      <c r="E46" s="808"/>
      <c r="F46" s="808"/>
      <c r="G46" s="972"/>
      <c r="H46" s="806"/>
      <c r="I46" s="808"/>
      <c r="J46" s="356" t="s">
        <v>30</v>
      </c>
      <c r="K46" s="359" t="s">
        <v>365</v>
      </c>
      <c r="L46" s="357">
        <v>35000</v>
      </c>
      <c r="M46" s="357">
        <v>33000</v>
      </c>
      <c r="N46" s="192">
        <v>33000</v>
      </c>
      <c r="O46" s="187"/>
      <c r="P46" s="355">
        <f t="shared" si="1"/>
        <v>0.94285714285714284</v>
      </c>
      <c r="Q46" s="818"/>
      <c r="R46" s="358" t="s">
        <v>697</v>
      </c>
      <c r="S46" s="376">
        <f t="shared" si="2"/>
        <v>5.7142857142857141E-2</v>
      </c>
      <c r="T46" s="5">
        <f t="shared" si="3"/>
        <v>2000</v>
      </c>
    </row>
    <row r="47" spans="1:20" ht="65.25" customHeight="1" x14ac:dyDescent="0.25">
      <c r="A47" s="803">
        <v>9</v>
      </c>
      <c r="B47" s="807" t="s">
        <v>4</v>
      </c>
      <c r="C47" s="796" t="s">
        <v>183</v>
      </c>
      <c r="D47" s="788" t="s">
        <v>667</v>
      </c>
      <c r="E47" s="967" t="s">
        <v>49</v>
      </c>
      <c r="F47" s="840" t="s">
        <v>16</v>
      </c>
      <c r="G47" s="842">
        <v>7683717.46</v>
      </c>
      <c r="H47" s="954" t="s">
        <v>510</v>
      </c>
      <c r="I47" s="796" t="s">
        <v>251</v>
      </c>
      <c r="J47" s="201" t="s">
        <v>140</v>
      </c>
      <c r="K47" s="981" t="s">
        <v>305</v>
      </c>
      <c r="L47" s="185">
        <v>994</v>
      </c>
      <c r="M47" s="185">
        <f t="shared" si="0"/>
        <v>994</v>
      </c>
      <c r="N47" s="189">
        <v>994</v>
      </c>
      <c r="O47" s="187"/>
      <c r="P47" s="183">
        <f t="shared" si="1"/>
        <v>1</v>
      </c>
      <c r="Q47" s="816">
        <f>(M47+M48+M49)/G47</f>
        <v>0.13147645462747143</v>
      </c>
      <c r="R47" s="799" t="s">
        <v>596</v>
      </c>
      <c r="S47" s="376">
        <f t="shared" si="2"/>
        <v>0</v>
      </c>
      <c r="T47" s="5">
        <f t="shared" si="3"/>
        <v>0</v>
      </c>
    </row>
    <row r="48" spans="1:20" ht="104.25" customHeight="1" x14ac:dyDescent="0.25">
      <c r="A48" s="804"/>
      <c r="B48" s="797"/>
      <c r="C48" s="797"/>
      <c r="D48" s="790"/>
      <c r="E48" s="897"/>
      <c r="F48" s="968"/>
      <c r="G48" s="951"/>
      <c r="H48" s="974"/>
      <c r="I48" s="797"/>
      <c r="J48" s="347" t="s">
        <v>154</v>
      </c>
      <c r="K48" s="982"/>
      <c r="L48" s="348">
        <v>924</v>
      </c>
      <c r="M48" s="348">
        <v>924</v>
      </c>
      <c r="N48" s="189">
        <v>924</v>
      </c>
      <c r="O48" s="187"/>
      <c r="P48" s="346">
        <f t="shared" si="1"/>
        <v>1</v>
      </c>
      <c r="Q48" s="817"/>
      <c r="R48" s="800"/>
      <c r="S48" s="376">
        <f t="shared" si="2"/>
        <v>0</v>
      </c>
      <c r="T48" s="5">
        <f t="shared" si="3"/>
        <v>0</v>
      </c>
    </row>
    <row r="49" spans="1:20" ht="252.75" customHeight="1" x14ac:dyDescent="0.25">
      <c r="A49" s="804"/>
      <c r="B49" s="797"/>
      <c r="C49" s="797"/>
      <c r="D49" s="790"/>
      <c r="E49" s="897"/>
      <c r="F49" s="968"/>
      <c r="G49" s="951"/>
      <c r="H49" s="974"/>
      <c r="I49" s="797"/>
      <c r="J49" s="201" t="s">
        <v>140</v>
      </c>
      <c r="K49" s="202" t="s">
        <v>233</v>
      </c>
      <c r="L49" s="185">
        <v>4033239.72</v>
      </c>
      <c r="M49" s="185">
        <f t="shared" si="0"/>
        <v>1008309.93</v>
      </c>
      <c r="N49" s="186"/>
      <c r="O49" s="187">
        <v>1008309.93</v>
      </c>
      <c r="P49" s="183">
        <f t="shared" si="1"/>
        <v>0.25</v>
      </c>
      <c r="Q49" s="817"/>
      <c r="R49" s="321" t="s">
        <v>694</v>
      </c>
      <c r="S49" s="376">
        <f t="shared" si="2"/>
        <v>0.75</v>
      </c>
      <c r="T49" s="5">
        <f t="shared" si="3"/>
        <v>3024929.79</v>
      </c>
    </row>
    <row r="50" spans="1:20" ht="79.5" customHeight="1" x14ac:dyDescent="0.25">
      <c r="A50" s="806"/>
      <c r="B50" s="789"/>
      <c r="C50" s="789"/>
      <c r="D50" s="789"/>
      <c r="E50" s="789"/>
      <c r="F50" s="898"/>
      <c r="G50" s="901"/>
      <c r="H50" s="955"/>
      <c r="I50" s="789"/>
      <c r="J50" s="506" t="s">
        <v>459</v>
      </c>
      <c r="K50" s="202" t="s">
        <v>233</v>
      </c>
      <c r="L50" s="413">
        <v>0</v>
      </c>
      <c r="M50" s="413">
        <v>0</v>
      </c>
      <c r="N50" s="186"/>
      <c r="O50" s="187"/>
      <c r="P50" s="505">
        <v>0</v>
      </c>
      <c r="Q50" s="829"/>
      <c r="R50" s="321" t="s">
        <v>597</v>
      </c>
      <c r="S50" s="376"/>
      <c r="T50" s="5"/>
    </row>
    <row r="51" spans="1:20" ht="228" customHeight="1" x14ac:dyDescent="0.25">
      <c r="A51" s="803">
        <v>10</v>
      </c>
      <c r="B51" s="807" t="s">
        <v>4</v>
      </c>
      <c r="C51" s="807" t="s">
        <v>184</v>
      </c>
      <c r="D51" s="788" t="s">
        <v>668</v>
      </c>
      <c r="E51" s="844" t="s">
        <v>50</v>
      </c>
      <c r="F51" s="840" t="s">
        <v>16</v>
      </c>
      <c r="G51" s="842">
        <v>13179425.42</v>
      </c>
      <c r="H51" s="954" t="s">
        <v>72</v>
      </c>
      <c r="I51" s="807" t="s">
        <v>166</v>
      </c>
      <c r="J51" s="184" t="s">
        <v>140</v>
      </c>
      <c r="K51" s="801" t="s">
        <v>234</v>
      </c>
      <c r="L51" s="185">
        <v>101336.35</v>
      </c>
      <c r="M51" s="214">
        <v>20267.27</v>
      </c>
      <c r="N51" s="388">
        <v>20267.27</v>
      </c>
      <c r="O51" s="187"/>
      <c r="P51" s="183">
        <f t="shared" si="1"/>
        <v>0.19999999999999998</v>
      </c>
      <c r="Q51" s="816">
        <f>M51/G51</f>
        <v>1.5377961750323407E-3</v>
      </c>
      <c r="R51" s="321" t="s">
        <v>673</v>
      </c>
      <c r="S51" s="376">
        <f t="shared" si="2"/>
        <v>0.79999999999999993</v>
      </c>
      <c r="T51" s="5">
        <f t="shared" si="3"/>
        <v>81069.08</v>
      </c>
    </row>
    <row r="52" spans="1:20" ht="66" x14ac:dyDescent="0.25">
      <c r="A52" s="809"/>
      <c r="B52" s="808"/>
      <c r="C52" s="808"/>
      <c r="D52" s="789"/>
      <c r="E52" s="845"/>
      <c r="F52" s="841"/>
      <c r="G52" s="843"/>
      <c r="H52" s="955"/>
      <c r="I52" s="808"/>
      <c r="J52" s="368" t="s">
        <v>30</v>
      </c>
      <c r="K52" s="802"/>
      <c r="L52" s="370">
        <v>0</v>
      </c>
      <c r="M52" s="214">
        <v>0</v>
      </c>
      <c r="N52" s="186"/>
      <c r="O52" s="187"/>
      <c r="P52" s="369">
        <v>0</v>
      </c>
      <c r="Q52" s="818"/>
      <c r="R52" s="321" t="s">
        <v>598</v>
      </c>
      <c r="S52" s="376" t="e">
        <f t="shared" si="2"/>
        <v>#DIV/0!</v>
      </c>
      <c r="T52" s="5">
        <f t="shared" si="3"/>
        <v>0</v>
      </c>
    </row>
    <row r="53" spans="1:20" ht="330.75" customHeight="1" x14ac:dyDescent="0.25">
      <c r="A53" s="803">
        <v>11</v>
      </c>
      <c r="B53" s="807" t="s">
        <v>4</v>
      </c>
      <c r="C53" s="846" t="s">
        <v>185</v>
      </c>
      <c r="D53" s="788" t="s">
        <v>668</v>
      </c>
      <c r="E53" s="844" t="s">
        <v>51</v>
      </c>
      <c r="F53" s="840" t="s">
        <v>16</v>
      </c>
      <c r="G53" s="842">
        <v>11568526.630000001</v>
      </c>
      <c r="H53" s="954" t="s">
        <v>72</v>
      </c>
      <c r="I53" s="807" t="s">
        <v>166</v>
      </c>
      <c r="J53" s="184" t="s">
        <v>140</v>
      </c>
      <c r="K53" s="801" t="s">
        <v>235</v>
      </c>
      <c r="L53" s="185">
        <v>2675450.1</v>
      </c>
      <c r="M53" s="400">
        <v>2318723.42</v>
      </c>
      <c r="N53" s="388">
        <v>2318723.42</v>
      </c>
      <c r="O53" s="187"/>
      <c r="P53" s="183">
        <f t="shared" si="1"/>
        <v>0.86666666666666659</v>
      </c>
      <c r="Q53" s="816">
        <f>M53/G53</f>
        <v>0.20043377122778855</v>
      </c>
      <c r="R53" s="321" t="s">
        <v>674</v>
      </c>
      <c r="S53" s="376">
        <f t="shared" si="2"/>
        <v>0.13333333333333339</v>
      </c>
      <c r="T53" s="5">
        <f t="shared" si="3"/>
        <v>356726.68000000017</v>
      </c>
    </row>
    <row r="54" spans="1:20" ht="82.5" customHeight="1" x14ac:dyDescent="0.25">
      <c r="A54" s="809"/>
      <c r="B54" s="808"/>
      <c r="C54" s="808"/>
      <c r="D54" s="789"/>
      <c r="E54" s="845"/>
      <c r="F54" s="841"/>
      <c r="G54" s="843"/>
      <c r="H54" s="955"/>
      <c r="I54" s="808"/>
      <c r="J54" s="368" t="s">
        <v>30</v>
      </c>
      <c r="K54" s="802"/>
      <c r="L54" s="370">
        <v>0</v>
      </c>
      <c r="M54" s="214">
        <v>0</v>
      </c>
      <c r="N54" s="186"/>
      <c r="O54" s="187"/>
      <c r="P54" s="369">
        <v>0</v>
      </c>
      <c r="Q54" s="818"/>
      <c r="R54" s="321" t="s">
        <v>599</v>
      </c>
      <c r="S54" s="376" t="e">
        <f t="shared" si="2"/>
        <v>#DIV/0!</v>
      </c>
      <c r="T54" s="5">
        <f t="shared" si="3"/>
        <v>0</v>
      </c>
    </row>
    <row r="55" spans="1:20" ht="75" x14ac:dyDescent="0.25">
      <c r="A55" s="803">
        <v>12</v>
      </c>
      <c r="B55" s="807" t="s">
        <v>4</v>
      </c>
      <c r="C55" s="796" t="s">
        <v>186</v>
      </c>
      <c r="D55" s="788" t="s">
        <v>664</v>
      </c>
      <c r="E55" s="813" t="s">
        <v>363</v>
      </c>
      <c r="F55" s="810" t="s">
        <v>8</v>
      </c>
      <c r="G55" s="847">
        <v>87687163</v>
      </c>
      <c r="H55" s="956" t="s">
        <v>72</v>
      </c>
      <c r="I55" s="987" t="s">
        <v>385</v>
      </c>
      <c r="J55" s="184" t="s">
        <v>151</v>
      </c>
      <c r="K55" s="195" t="s">
        <v>248</v>
      </c>
      <c r="L55" s="185">
        <v>4318559.55</v>
      </c>
      <c r="M55" s="185">
        <f t="shared" si="0"/>
        <v>0</v>
      </c>
      <c r="N55" s="189">
        <v>0</v>
      </c>
      <c r="O55" s="187"/>
      <c r="P55" s="183">
        <f t="shared" si="1"/>
        <v>0</v>
      </c>
      <c r="Q55" s="816">
        <f>(M55+M56+M57+M58+M59+M60+M61+M62)/G55</f>
        <v>0.85109249503259676</v>
      </c>
      <c r="R55" s="446" t="s">
        <v>445</v>
      </c>
      <c r="S55" s="376">
        <f t="shared" si="2"/>
        <v>1</v>
      </c>
      <c r="T55" s="5">
        <f t="shared" si="3"/>
        <v>4318559.55</v>
      </c>
    </row>
    <row r="56" spans="1:20" ht="30" x14ac:dyDescent="0.25">
      <c r="A56" s="804"/>
      <c r="B56" s="797"/>
      <c r="C56" s="797"/>
      <c r="D56" s="790"/>
      <c r="E56" s="814"/>
      <c r="F56" s="811"/>
      <c r="G56" s="848"/>
      <c r="H56" s="957"/>
      <c r="I56" s="988"/>
      <c r="J56" s="184" t="s">
        <v>153</v>
      </c>
      <c r="K56" s="963"/>
      <c r="L56" s="185">
        <v>797744</v>
      </c>
      <c r="M56" s="185">
        <f t="shared" si="0"/>
        <v>0</v>
      </c>
      <c r="N56" s="189">
        <v>0</v>
      </c>
      <c r="O56" s="190"/>
      <c r="P56" s="183">
        <f t="shared" si="1"/>
        <v>0</v>
      </c>
      <c r="Q56" s="817"/>
      <c r="R56" s="188" t="s">
        <v>227</v>
      </c>
      <c r="S56" s="376">
        <f t="shared" ref="S56:S112" si="4">T56/L56</f>
        <v>1</v>
      </c>
      <c r="T56" s="5">
        <f t="shared" ref="T56:T112" si="5">L56-M56</f>
        <v>797744</v>
      </c>
    </row>
    <row r="57" spans="1:20" ht="30" x14ac:dyDescent="0.25">
      <c r="A57" s="804"/>
      <c r="B57" s="797"/>
      <c r="C57" s="797"/>
      <c r="D57" s="790"/>
      <c r="E57" s="814"/>
      <c r="F57" s="811"/>
      <c r="G57" s="848"/>
      <c r="H57" s="957"/>
      <c r="I57" s="988"/>
      <c r="J57" s="184" t="s">
        <v>156</v>
      </c>
      <c r="K57" s="802"/>
      <c r="L57" s="185">
        <v>25801</v>
      </c>
      <c r="M57" s="185">
        <v>25801</v>
      </c>
      <c r="N57" s="189">
        <v>25801</v>
      </c>
      <c r="O57" s="190"/>
      <c r="P57" s="183">
        <f t="shared" si="1"/>
        <v>1</v>
      </c>
      <c r="Q57" s="817"/>
      <c r="R57" s="188" t="s">
        <v>228</v>
      </c>
      <c r="S57" s="376">
        <f t="shared" si="4"/>
        <v>0</v>
      </c>
      <c r="T57" s="5">
        <f t="shared" si="5"/>
        <v>0</v>
      </c>
    </row>
    <row r="58" spans="1:20" ht="63.75" customHeight="1" x14ac:dyDescent="0.25">
      <c r="A58" s="804"/>
      <c r="B58" s="797"/>
      <c r="C58" s="797"/>
      <c r="D58" s="790"/>
      <c r="E58" s="814"/>
      <c r="F58" s="811"/>
      <c r="G58" s="848"/>
      <c r="H58" s="957"/>
      <c r="I58" s="988"/>
      <c r="J58" s="798" t="s">
        <v>139</v>
      </c>
      <c r="K58" s="998" t="s">
        <v>457</v>
      </c>
      <c r="L58" s="819">
        <v>63267368</v>
      </c>
      <c r="M58" s="413">
        <v>1225412</v>
      </c>
      <c r="N58" s="189">
        <v>1225412</v>
      </c>
      <c r="O58" s="190"/>
      <c r="P58" s="816">
        <f>(M58+M59+M60)/L58</f>
        <v>0.99999999715493149</v>
      </c>
      <c r="Q58" s="817"/>
      <c r="R58" s="188" t="s">
        <v>230</v>
      </c>
      <c r="S58" s="376"/>
      <c r="T58" s="5"/>
    </row>
    <row r="59" spans="1:20" ht="261.75" customHeight="1" x14ac:dyDescent="0.25">
      <c r="A59" s="804"/>
      <c r="B59" s="797"/>
      <c r="C59" s="797"/>
      <c r="D59" s="790"/>
      <c r="E59" s="814"/>
      <c r="F59" s="811"/>
      <c r="G59" s="848"/>
      <c r="H59" s="957"/>
      <c r="I59" s="988"/>
      <c r="J59" s="790"/>
      <c r="K59" s="999"/>
      <c r="L59" s="820"/>
      <c r="M59" s="185">
        <f t="shared" si="0"/>
        <v>62039804.600000001</v>
      </c>
      <c r="N59" s="192">
        <v>62039804.600000001</v>
      </c>
      <c r="O59" s="187"/>
      <c r="P59" s="828"/>
      <c r="Q59" s="817"/>
      <c r="R59" s="321" t="s">
        <v>517</v>
      </c>
      <c r="S59" s="376">
        <f>T59/L58</f>
        <v>1.9402789128196363E-2</v>
      </c>
      <c r="T59" s="5">
        <f>L58-M59</f>
        <v>1227563.3999999985</v>
      </c>
    </row>
    <row r="60" spans="1:20" ht="54" customHeight="1" x14ac:dyDescent="0.25">
      <c r="A60" s="804"/>
      <c r="B60" s="797"/>
      <c r="C60" s="797"/>
      <c r="D60" s="790"/>
      <c r="E60" s="814"/>
      <c r="F60" s="811"/>
      <c r="G60" s="848"/>
      <c r="H60" s="957"/>
      <c r="I60" s="988"/>
      <c r="J60" s="789"/>
      <c r="K60" s="1000"/>
      <c r="L60" s="821"/>
      <c r="M60" s="413">
        <v>2151.2199999999998</v>
      </c>
      <c r="N60" s="484">
        <v>2151.2199999999998</v>
      </c>
      <c r="O60" s="187"/>
      <c r="P60" s="829"/>
      <c r="Q60" s="817"/>
      <c r="R60" s="475" t="s">
        <v>453</v>
      </c>
      <c r="S60" s="376"/>
      <c r="T60" s="5"/>
    </row>
    <row r="61" spans="1:20" ht="79.5" customHeight="1" x14ac:dyDescent="0.25">
      <c r="A61" s="804"/>
      <c r="B61" s="797"/>
      <c r="C61" s="797"/>
      <c r="D61" s="790"/>
      <c r="E61" s="814"/>
      <c r="F61" s="811"/>
      <c r="G61" s="848"/>
      <c r="H61" s="957"/>
      <c r="I61" s="988"/>
      <c r="J61" s="483" t="s">
        <v>144</v>
      </c>
      <c r="K61" s="195" t="s">
        <v>249</v>
      </c>
      <c r="L61" s="185">
        <v>11336717.52</v>
      </c>
      <c r="M61" s="185">
        <f t="shared" si="0"/>
        <v>11336717.52</v>
      </c>
      <c r="N61" s="186"/>
      <c r="O61" s="203">
        <v>11336717.52</v>
      </c>
      <c r="P61" s="183">
        <f t="shared" si="1"/>
        <v>1</v>
      </c>
      <c r="Q61" s="817"/>
      <c r="R61" s="558" t="s">
        <v>521</v>
      </c>
      <c r="S61" s="376">
        <f t="shared" si="4"/>
        <v>0</v>
      </c>
      <c r="T61" s="5">
        <f t="shared" si="5"/>
        <v>0</v>
      </c>
    </row>
    <row r="62" spans="1:20" ht="78" customHeight="1" x14ac:dyDescent="0.25">
      <c r="A62" s="809"/>
      <c r="B62" s="808"/>
      <c r="C62" s="808"/>
      <c r="D62" s="789"/>
      <c r="E62" s="815"/>
      <c r="F62" s="812"/>
      <c r="G62" s="849"/>
      <c r="H62" s="958"/>
      <c r="I62" s="989"/>
      <c r="J62" s="365" t="s">
        <v>30</v>
      </c>
      <c r="K62" s="367" t="s">
        <v>388</v>
      </c>
      <c r="L62" s="366">
        <v>0</v>
      </c>
      <c r="M62" s="366">
        <v>0</v>
      </c>
      <c r="N62" s="186"/>
      <c r="O62" s="203"/>
      <c r="P62" s="364">
        <v>0</v>
      </c>
      <c r="Q62" s="818"/>
      <c r="R62" s="680" t="s">
        <v>600</v>
      </c>
      <c r="S62" s="376" t="e">
        <f t="shared" si="4"/>
        <v>#DIV/0!</v>
      </c>
      <c r="T62" s="5">
        <f t="shared" si="5"/>
        <v>0</v>
      </c>
    </row>
    <row r="63" spans="1:20" ht="45" x14ac:dyDescent="0.25">
      <c r="A63" s="803">
        <v>13</v>
      </c>
      <c r="B63" s="807" t="s">
        <v>4</v>
      </c>
      <c r="C63" s="909" t="s">
        <v>20</v>
      </c>
      <c r="D63" s="788" t="s">
        <v>667</v>
      </c>
      <c r="E63" s="910" t="s">
        <v>53</v>
      </c>
      <c r="F63" s="840" t="s">
        <v>16</v>
      </c>
      <c r="G63" s="842">
        <v>1548180.56</v>
      </c>
      <c r="H63" s="959" t="s">
        <v>510</v>
      </c>
      <c r="I63" s="807" t="s">
        <v>251</v>
      </c>
      <c r="J63" s="184" t="s">
        <v>146</v>
      </c>
      <c r="K63" s="801" t="s">
        <v>236</v>
      </c>
      <c r="L63" s="185">
        <v>1105</v>
      </c>
      <c r="M63" s="185">
        <f t="shared" si="0"/>
        <v>940</v>
      </c>
      <c r="N63" s="189">
        <v>940</v>
      </c>
      <c r="O63" s="204"/>
      <c r="P63" s="183">
        <f t="shared" si="1"/>
        <v>0.85067873303167418</v>
      </c>
      <c r="Q63" s="816">
        <f>(M63+M64)/G63</f>
        <v>1.1788030719104235E-3</v>
      </c>
      <c r="R63" s="799" t="s">
        <v>601</v>
      </c>
      <c r="S63" s="376">
        <f t="shared" si="4"/>
        <v>0.14932126696832579</v>
      </c>
      <c r="T63" s="5">
        <f t="shared" si="5"/>
        <v>165</v>
      </c>
    </row>
    <row r="64" spans="1:20" ht="139.5" customHeight="1" x14ac:dyDescent="0.25">
      <c r="A64" s="809"/>
      <c r="B64" s="808"/>
      <c r="C64" s="808"/>
      <c r="D64" s="789"/>
      <c r="E64" s="845"/>
      <c r="F64" s="841"/>
      <c r="G64" s="843"/>
      <c r="H64" s="955"/>
      <c r="I64" s="808"/>
      <c r="J64" s="322" t="s">
        <v>147</v>
      </c>
      <c r="K64" s="802"/>
      <c r="L64" s="316">
        <v>885</v>
      </c>
      <c r="M64" s="316">
        <f t="shared" si="0"/>
        <v>885</v>
      </c>
      <c r="N64" s="189">
        <v>885</v>
      </c>
      <c r="O64" s="204"/>
      <c r="P64" s="315">
        <f t="shared" si="1"/>
        <v>1</v>
      </c>
      <c r="Q64" s="818"/>
      <c r="R64" s="800"/>
      <c r="S64" s="376">
        <f t="shared" si="4"/>
        <v>0</v>
      </c>
      <c r="T64" s="5">
        <f t="shared" si="5"/>
        <v>0</v>
      </c>
    </row>
    <row r="65" spans="1:20" ht="111" x14ac:dyDescent="0.25">
      <c r="A65" s="311">
        <v>14</v>
      </c>
      <c r="B65" s="196" t="s">
        <v>4</v>
      </c>
      <c r="C65" s="196" t="s">
        <v>187</v>
      </c>
      <c r="D65" s="719" t="s">
        <v>666</v>
      </c>
      <c r="E65" s="254" t="s">
        <v>278</v>
      </c>
      <c r="F65" s="205" t="s">
        <v>10</v>
      </c>
      <c r="G65" s="353">
        <v>24132550</v>
      </c>
      <c r="H65" s="557" t="s">
        <v>508</v>
      </c>
      <c r="I65" s="349" t="s">
        <v>167</v>
      </c>
      <c r="J65" s="236" t="s">
        <v>274</v>
      </c>
      <c r="K65" s="255" t="s">
        <v>283</v>
      </c>
      <c r="L65" s="185">
        <v>43066.02</v>
      </c>
      <c r="M65" s="185">
        <f t="shared" si="0"/>
        <v>0</v>
      </c>
      <c r="N65" s="206">
        <v>0</v>
      </c>
      <c r="O65" s="190">
        <v>0</v>
      </c>
      <c r="P65" s="183">
        <f t="shared" si="1"/>
        <v>0</v>
      </c>
      <c r="Q65" s="183">
        <f t="shared" ref="Q65:Q79" si="6">M65/G65</f>
        <v>0</v>
      </c>
      <c r="R65" s="679" t="s">
        <v>602</v>
      </c>
      <c r="S65" s="376">
        <f t="shared" si="4"/>
        <v>1</v>
      </c>
      <c r="T65" s="5">
        <f t="shared" si="5"/>
        <v>43066.02</v>
      </c>
    </row>
    <row r="66" spans="1:20" ht="409.6" customHeight="1" x14ac:dyDescent="0.25">
      <c r="A66" s="803">
        <v>15</v>
      </c>
      <c r="B66" s="838" t="s">
        <v>4</v>
      </c>
      <c r="C66" s="838" t="s">
        <v>21</v>
      </c>
      <c r="D66" s="791" t="s">
        <v>666</v>
      </c>
      <c r="E66" s="813" t="s">
        <v>54</v>
      </c>
      <c r="F66" s="840" t="s">
        <v>10</v>
      </c>
      <c r="G66" s="932">
        <v>53089709.939999998</v>
      </c>
      <c r="H66" s="960" t="s">
        <v>509</v>
      </c>
      <c r="I66" s="936" t="s">
        <v>373</v>
      </c>
      <c r="J66" s="962" t="s">
        <v>140</v>
      </c>
      <c r="K66" s="801" t="s">
        <v>237</v>
      </c>
      <c r="L66" s="819">
        <v>459110.99</v>
      </c>
      <c r="M66" s="819">
        <v>109136.6</v>
      </c>
      <c r="N66" s="836">
        <v>109136.6</v>
      </c>
      <c r="O66" s="825"/>
      <c r="P66" s="816">
        <f t="shared" si="1"/>
        <v>0.23771288942571384</v>
      </c>
      <c r="Q66" s="816">
        <f>(M66+M68+M70)/G66</f>
        <v>2.4520958985672697E-3</v>
      </c>
      <c r="R66" s="1001" t="s">
        <v>650</v>
      </c>
      <c r="S66" s="376">
        <f t="shared" si="4"/>
        <v>0.76228711057428622</v>
      </c>
      <c r="T66" s="5">
        <f t="shared" si="5"/>
        <v>349974.39</v>
      </c>
    </row>
    <row r="67" spans="1:20" ht="66.75" customHeight="1" x14ac:dyDescent="0.25">
      <c r="A67" s="804"/>
      <c r="B67" s="839"/>
      <c r="C67" s="839"/>
      <c r="D67" s="850"/>
      <c r="E67" s="814"/>
      <c r="F67" s="968"/>
      <c r="G67" s="944"/>
      <c r="H67" s="961"/>
      <c r="I67" s="952"/>
      <c r="J67" s="789"/>
      <c r="K67" s="832"/>
      <c r="L67" s="821"/>
      <c r="M67" s="821"/>
      <c r="N67" s="837"/>
      <c r="O67" s="827"/>
      <c r="P67" s="829"/>
      <c r="Q67" s="817"/>
      <c r="R67" s="1002"/>
      <c r="S67" s="376"/>
      <c r="T67" s="5"/>
    </row>
    <row r="68" spans="1:20" ht="409.6" customHeight="1" x14ac:dyDescent="0.25">
      <c r="A68" s="805"/>
      <c r="B68" s="839"/>
      <c r="C68" s="839"/>
      <c r="D68" s="850"/>
      <c r="E68" s="814"/>
      <c r="F68" s="969"/>
      <c r="G68" s="933"/>
      <c r="H68" s="957"/>
      <c r="I68" s="790"/>
      <c r="J68" s="995" t="s">
        <v>405</v>
      </c>
      <c r="K68" s="994" t="s">
        <v>406</v>
      </c>
      <c r="L68" s="819">
        <v>17087.400000000001</v>
      </c>
      <c r="M68" s="819">
        <v>17087.400000000001</v>
      </c>
      <c r="N68" s="836">
        <v>17087.400000000001</v>
      </c>
      <c r="O68" s="993"/>
      <c r="P68" s="816">
        <f t="shared" si="1"/>
        <v>1</v>
      </c>
      <c r="Q68" s="828"/>
      <c r="R68" s="992" t="s">
        <v>651</v>
      </c>
      <c r="S68" s="376"/>
      <c r="T68" s="5"/>
    </row>
    <row r="69" spans="1:20" ht="59.25" customHeight="1" x14ac:dyDescent="0.25">
      <c r="A69" s="805"/>
      <c r="B69" s="839"/>
      <c r="C69" s="839"/>
      <c r="D69" s="850"/>
      <c r="E69" s="814"/>
      <c r="F69" s="969"/>
      <c r="G69" s="933"/>
      <c r="H69" s="957"/>
      <c r="I69" s="790"/>
      <c r="J69" s="789"/>
      <c r="K69" s="832"/>
      <c r="L69" s="821"/>
      <c r="M69" s="821"/>
      <c r="N69" s="837"/>
      <c r="O69" s="827"/>
      <c r="P69" s="829"/>
      <c r="Q69" s="828"/>
      <c r="R69" s="853"/>
      <c r="S69" s="376"/>
      <c r="T69" s="5"/>
    </row>
    <row r="70" spans="1:20" ht="94.5" customHeight="1" x14ac:dyDescent="0.25">
      <c r="A70" s="806"/>
      <c r="B70" s="792"/>
      <c r="C70" s="792"/>
      <c r="D70" s="792"/>
      <c r="E70" s="789"/>
      <c r="F70" s="898"/>
      <c r="G70" s="901"/>
      <c r="H70" s="958"/>
      <c r="I70" s="789"/>
      <c r="J70" s="397" t="s">
        <v>420</v>
      </c>
      <c r="K70" s="440" t="s">
        <v>438</v>
      </c>
      <c r="L70" s="413">
        <v>3957.06</v>
      </c>
      <c r="M70" s="413">
        <v>3957.06</v>
      </c>
      <c r="N70" s="189">
        <v>3957.06</v>
      </c>
      <c r="O70" s="216"/>
      <c r="P70" s="438">
        <f t="shared" si="1"/>
        <v>1</v>
      </c>
      <c r="Q70" s="829"/>
      <c r="R70" s="439" t="s">
        <v>603</v>
      </c>
      <c r="S70" s="376"/>
      <c r="T70" s="5"/>
    </row>
    <row r="71" spans="1:20" ht="96" x14ac:dyDescent="0.25">
      <c r="A71" s="803">
        <v>16</v>
      </c>
      <c r="B71" s="838" t="s">
        <v>4</v>
      </c>
      <c r="C71" s="838" t="s">
        <v>188</v>
      </c>
      <c r="D71" s="791" t="s">
        <v>669</v>
      </c>
      <c r="E71" s="813" t="s">
        <v>55</v>
      </c>
      <c r="F71" s="840" t="s">
        <v>23</v>
      </c>
      <c r="G71" s="932">
        <v>168042284</v>
      </c>
      <c r="H71" s="960" t="s">
        <v>72</v>
      </c>
      <c r="I71" s="936" t="s">
        <v>374</v>
      </c>
      <c r="J71" s="399" t="s">
        <v>408</v>
      </c>
      <c r="K71" s="307" t="s">
        <v>306</v>
      </c>
      <c r="L71" s="209">
        <v>277298</v>
      </c>
      <c r="M71" s="339">
        <f t="shared" si="0"/>
        <v>277298</v>
      </c>
      <c r="N71" s="186"/>
      <c r="O71" s="187">
        <v>277298</v>
      </c>
      <c r="P71" s="183">
        <f t="shared" si="1"/>
        <v>1</v>
      </c>
      <c r="Q71" s="183">
        <f t="shared" si="6"/>
        <v>1.6501680017631754E-3</v>
      </c>
      <c r="R71" s="321" t="s">
        <v>604</v>
      </c>
      <c r="S71" s="376">
        <f t="shared" si="4"/>
        <v>0</v>
      </c>
      <c r="T71" s="5">
        <f t="shared" si="5"/>
        <v>0</v>
      </c>
    </row>
    <row r="72" spans="1:20" ht="47.25" customHeight="1" x14ac:dyDescent="0.25">
      <c r="A72" s="806"/>
      <c r="B72" s="792"/>
      <c r="C72" s="792"/>
      <c r="D72" s="792"/>
      <c r="E72" s="789"/>
      <c r="F72" s="898"/>
      <c r="G72" s="901"/>
      <c r="H72" s="955"/>
      <c r="I72" s="789"/>
      <c r="J72" s="741" t="s">
        <v>698</v>
      </c>
      <c r="K72" s="307"/>
      <c r="L72" s="209">
        <v>343640.98</v>
      </c>
      <c r="M72" s="339">
        <v>343640.98</v>
      </c>
      <c r="N72" s="186"/>
      <c r="O72" s="187">
        <v>343640.98</v>
      </c>
      <c r="P72" s="740">
        <f t="shared" si="1"/>
        <v>1</v>
      </c>
      <c r="Q72" s="740">
        <f>SUM(M72/G71)</f>
        <v>2.0449673250096979E-3</v>
      </c>
      <c r="R72" s="321" t="s">
        <v>699</v>
      </c>
      <c r="S72" s="376"/>
      <c r="T72" s="5"/>
    </row>
    <row r="73" spans="1:20" ht="162" customHeight="1" x14ac:dyDescent="0.25">
      <c r="A73" s="311">
        <v>17</v>
      </c>
      <c r="B73" s="196" t="s">
        <v>4</v>
      </c>
      <c r="C73" s="210" t="s">
        <v>189</v>
      </c>
      <c r="D73" s="210" t="s">
        <v>665</v>
      </c>
      <c r="E73" s="207" t="s">
        <v>469</v>
      </c>
      <c r="F73" s="211" t="s">
        <v>8</v>
      </c>
      <c r="G73" s="208">
        <v>44850000</v>
      </c>
      <c r="H73" s="557" t="s">
        <v>72</v>
      </c>
      <c r="I73" s="360" t="s">
        <v>165</v>
      </c>
      <c r="J73" s="212" t="s">
        <v>142</v>
      </c>
      <c r="K73" s="213" t="s">
        <v>307</v>
      </c>
      <c r="L73" s="214">
        <v>9250.01</v>
      </c>
      <c r="M73" s="185">
        <f t="shared" si="0"/>
        <v>8500.01</v>
      </c>
      <c r="N73" s="189">
        <v>8500.01</v>
      </c>
      <c r="O73" s="143">
        <v>0</v>
      </c>
      <c r="P73" s="183">
        <f t="shared" si="1"/>
        <v>0.9189190065740469</v>
      </c>
      <c r="Q73" s="183">
        <f t="shared" si="6"/>
        <v>1.8952084726867337E-4</v>
      </c>
      <c r="R73" s="679" t="s">
        <v>605</v>
      </c>
      <c r="S73" s="376">
        <f t="shared" si="4"/>
        <v>8.1080993425953055E-2</v>
      </c>
      <c r="T73" s="5">
        <f t="shared" si="5"/>
        <v>750</v>
      </c>
    </row>
    <row r="74" spans="1:20" ht="216.75" customHeight="1" x14ac:dyDescent="0.25">
      <c r="A74" s="312">
        <v>18</v>
      </c>
      <c r="B74" s="210" t="s">
        <v>4</v>
      </c>
      <c r="C74" s="210" t="s">
        <v>190</v>
      </c>
      <c r="D74" s="210" t="s">
        <v>665</v>
      </c>
      <c r="E74" s="207" t="s">
        <v>470</v>
      </c>
      <c r="F74" s="211" t="s">
        <v>8</v>
      </c>
      <c r="G74" s="208">
        <v>32000000</v>
      </c>
      <c r="H74" s="557" t="s">
        <v>72</v>
      </c>
      <c r="I74" s="360" t="s">
        <v>375</v>
      </c>
      <c r="J74" s="212" t="s">
        <v>142</v>
      </c>
      <c r="K74" s="215" t="s">
        <v>238</v>
      </c>
      <c r="L74" s="214">
        <v>25876.89</v>
      </c>
      <c r="M74" s="185">
        <f t="shared" si="0"/>
        <v>16023.96</v>
      </c>
      <c r="N74" s="189">
        <v>16023.96</v>
      </c>
      <c r="O74" s="216"/>
      <c r="P74" s="183">
        <f t="shared" si="1"/>
        <v>0.6192382469454405</v>
      </c>
      <c r="Q74" s="183">
        <f t="shared" si="6"/>
        <v>5.0074875000000001E-4</v>
      </c>
      <c r="R74" s="679" t="s">
        <v>606</v>
      </c>
      <c r="S74" s="376">
        <f t="shared" si="4"/>
        <v>0.3807617530545595</v>
      </c>
      <c r="T74" s="5">
        <f t="shared" si="5"/>
        <v>9852.93</v>
      </c>
    </row>
    <row r="75" spans="1:20" ht="409.6" customHeight="1" x14ac:dyDescent="0.25">
      <c r="A75" s="803">
        <v>19</v>
      </c>
      <c r="B75" s="838" t="s">
        <v>4</v>
      </c>
      <c r="C75" s="838" t="s">
        <v>191</v>
      </c>
      <c r="D75" s="791" t="s">
        <v>670</v>
      </c>
      <c r="E75" s="844" t="s">
        <v>202</v>
      </c>
      <c r="F75" s="840" t="s">
        <v>28</v>
      </c>
      <c r="G75" s="842">
        <v>144128467</v>
      </c>
      <c r="H75" s="954" t="s">
        <v>511</v>
      </c>
      <c r="I75" s="936" t="s">
        <v>203</v>
      </c>
      <c r="J75" s="798" t="s">
        <v>140</v>
      </c>
      <c r="K75" s="949" t="s">
        <v>413</v>
      </c>
      <c r="L75" s="1010">
        <v>9222024</v>
      </c>
      <c r="M75" s="819">
        <f t="shared" si="0"/>
        <v>9222024</v>
      </c>
      <c r="N75" s="1009">
        <v>9222024</v>
      </c>
      <c r="O75" s="825">
        <v>0</v>
      </c>
      <c r="P75" s="816">
        <f t="shared" si="1"/>
        <v>1</v>
      </c>
      <c r="Q75" s="816">
        <f>(M75+M77)/G75</f>
        <v>0.12796950098692161</v>
      </c>
      <c r="R75" s="1008" t="s">
        <v>701</v>
      </c>
      <c r="S75" s="376">
        <f t="shared" si="4"/>
        <v>0</v>
      </c>
      <c r="T75" s="5">
        <f t="shared" si="5"/>
        <v>0</v>
      </c>
    </row>
    <row r="76" spans="1:20" ht="54" customHeight="1" x14ac:dyDescent="0.25">
      <c r="A76" s="804"/>
      <c r="B76" s="839"/>
      <c r="C76" s="839"/>
      <c r="D76" s="940"/>
      <c r="E76" s="897"/>
      <c r="F76" s="968"/>
      <c r="G76" s="951"/>
      <c r="H76" s="1005"/>
      <c r="I76" s="952"/>
      <c r="J76" s="789"/>
      <c r="K76" s="949"/>
      <c r="L76" s="827"/>
      <c r="M76" s="821"/>
      <c r="N76" s="837"/>
      <c r="O76" s="827"/>
      <c r="P76" s="829"/>
      <c r="Q76" s="817"/>
      <c r="R76" s="1002"/>
      <c r="S76" s="376"/>
      <c r="T76" s="5"/>
    </row>
    <row r="77" spans="1:20" ht="81" x14ac:dyDescent="0.25">
      <c r="A77" s="805"/>
      <c r="B77" s="839"/>
      <c r="C77" s="839"/>
      <c r="D77" s="850"/>
      <c r="E77" s="790"/>
      <c r="F77" s="969"/>
      <c r="G77" s="933"/>
      <c r="H77" s="974"/>
      <c r="I77" s="790"/>
      <c r="J77" s="396" t="s">
        <v>147</v>
      </c>
      <c r="K77" s="950"/>
      <c r="L77" s="409">
        <v>9222024</v>
      </c>
      <c r="M77" s="394">
        <v>9222024</v>
      </c>
      <c r="N77" s="388"/>
      <c r="O77" s="187">
        <v>9222024</v>
      </c>
      <c r="P77" s="395">
        <f t="shared" si="1"/>
        <v>1</v>
      </c>
      <c r="Q77" s="818"/>
      <c r="R77" s="559" t="s">
        <v>522</v>
      </c>
      <c r="S77" s="376"/>
      <c r="T77" s="5"/>
    </row>
    <row r="78" spans="1:20" ht="111" x14ac:dyDescent="0.25">
      <c r="A78" s="806"/>
      <c r="B78" s="792"/>
      <c r="C78" s="792"/>
      <c r="D78" s="792"/>
      <c r="E78" s="789"/>
      <c r="F78" s="898"/>
      <c r="G78" s="901"/>
      <c r="H78" s="955"/>
      <c r="I78" s="789"/>
      <c r="J78" s="408" t="s">
        <v>412</v>
      </c>
      <c r="K78" s="215" t="s">
        <v>414</v>
      </c>
      <c r="L78" s="409">
        <v>0</v>
      </c>
      <c r="M78" s="407">
        <v>0</v>
      </c>
      <c r="N78" s="388"/>
      <c r="O78" s="187">
        <v>0</v>
      </c>
      <c r="P78" s="406"/>
      <c r="Q78" s="406"/>
      <c r="R78" s="321" t="s">
        <v>607</v>
      </c>
      <c r="S78" s="376"/>
      <c r="T78" s="5"/>
    </row>
    <row r="79" spans="1:20" ht="75" customHeight="1" x14ac:dyDescent="0.25">
      <c r="A79" s="311">
        <v>20</v>
      </c>
      <c r="B79" s="196" t="s">
        <v>4</v>
      </c>
      <c r="C79" s="196" t="s">
        <v>192</v>
      </c>
      <c r="D79" s="719" t="s">
        <v>668</v>
      </c>
      <c r="E79" s="362" t="s">
        <v>150</v>
      </c>
      <c r="F79" s="205" t="s">
        <v>149</v>
      </c>
      <c r="G79" s="353">
        <v>23352645</v>
      </c>
      <c r="H79" s="557" t="s">
        <v>72</v>
      </c>
      <c r="I79" s="212" t="s">
        <v>166</v>
      </c>
      <c r="J79" s="236" t="s">
        <v>275</v>
      </c>
      <c r="K79" s="217" t="s">
        <v>239</v>
      </c>
      <c r="L79" s="185">
        <v>95544.63</v>
      </c>
      <c r="M79" s="185">
        <f t="shared" si="0"/>
        <v>0</v>
      </c>
      <c r="N79" s="206">
        <v>0</v>
      </c>
      <c r="O79" s="190"/>
      <c r="P79" s="183">
        <f t="shared" si="1"/>
        <v>0</v>
      </c>
      <c r="Q79" s="183">
        <f t="shared" si="6"/>
        <v>0</v>
      </c>
      <c r="R79" s="681" t="s">
        <v>608</v>
      </c>
      <c r="S79" s="376">
        <f t="shared" si="4"/>
        <v>1</v>
      </c>
      <c r="T79" s="5">
        <f t="shared" si="5"/>
        <v>95544.63</v>
      </c>
    </row>
    <row r="80" spans="1:20" ht="171" customHeight="1" x14ac:dyDescent="0.25">
      <c r="A80" s="311">
        <v>21</v>
      </c>
      <c r="B80" s="196" t="s">
        <v>4</v>
      </c>
      <c r="C80" s="196" t="s">
        <v>29</v>
      </c>
      <c r="D80" s="719" t="s">
        <v>668</v>
      </c>
      <c r="E80" s="218" t="s">
        <v>59</v>
      </c>
      <c r="F80" s="219" t="s">
        <v>16</v>
      </c>
      <c r="G80" s="208">
        <v>21907489</v>
      </c>
      <c r="H80" s="557" t="s">
        <v>72</v>
      </c>
      <c r="I80" s="129" t="s">
        <v>166</v>
      </c>
      <c r="J80" s="184" t="s">
        <v>30</v>
      </c>
      <c r="K80" s="191" t="s">
        <v>240</v>
      </c>
      <c r="L80" s="193">
        <v>15000</v>
      </c>
      <c r="M80" s="316">
        <f t="shared" si="0"/>
        <v>15000</v>
      </c>
      <c r="N80" s="344">
        <v>15000</v>
      </c>
      <c r="O80" s="233"/>
      <c r="P80" s="355">
        <f>M80/L80</f>
        <v>1</v>
      </c>
      <c r="Q80" s="355">
        <f>M80/G80</f>
        <v>6.8469736536213709E-4</v>
      </c>
      <c r="R80" s="338" t="s">
        <v>609</v>
      </c>
      <c r="S80" s="376">
        <f t="shared" si="4"/>
        <v>0</v>
      </c>
      <c r="T80" s="5">
        <f t="shared" si="5"/>
        <v>0</v>
      </c>
    </row>
    <row r="81" spans="1:20" ht="45" x14ac:dyDescent="0.25">
      <c r="A81" s="920">
        <v>22</v>
      </c>
      <c r="B81" s="937" t="s">
        <v>4</v>
      </c>
      <c r="C81" s="939" t="s">
        <v>161</v>
      </c>
      <c r="D81" s="788" t="s">
        <v>671</v>
      </c>
      <c r="E81" s="938" t="s">
        <v>204</v>
      </c>
      <c r="F81" s="921" t="s">
        <v>10</v>
      </c>
      <c r="G81" s="842">
        <v>2279938.87</v>
      </c>
      <c r="H81" s="1006" t="s">
        <v>508</v>
      </c>
      <c r="I81" s="953" t="s">
        <v>276</v>
      </c>
      <c r="J81" s="184" t="s">
        <v>140</v>
      </c>
      <c r="K81" s="906" t="s">
        <v>253</v>
      </c>
      <c r="L81" s="193">
        <v>82379</v>
      </c>
      <c r="M81" s="185">
        <f t="shared" si="0"/>
        <v>82379</v>
      </c>
      <c r="N81" s="344">
        <v>82379</v>
      </c>
      <c r="O81" s="143"/>
      <c r="P81" s="183">
        <f t="shared" si="1"/>
        <v>1</v>
      </c>
      <c r="Q81" s="816">
        <f>(M81+M82)/G81</f>
        <v>4.2461226164366414E-2</v>
      </c>
      <c r="R81" s="679" t="s">
        <v>610</v>
      </c>
      <c r="S81" s="376">
        <f t="shared" si="4"/>
        <v>0</v>
      </c>
      <c r="T81" s="5">
        <f t="shared" si="5"/>
        <v>0</v>
      </c>
    </row>
    <row r="82" spans="1:20" ht="87" x14ac:dyDescent="0.25">
      <c r="A82" s="920"/>
      <c r="B82" s="937"/>
      <c r="C82" s="937"/>
      <c r="D82" s="789"/>
      <c r="E82" s="938"/>
      <c r="F82" s="921"/>
      <c r="G82" s="843"/>
      <c r="H82" s="955"/>
      <c r="I82" s="953"/>
      <c r="J82" s="184" t="s">
        <v>154</v>
      </c>
      <c r="K82" s="859"/>
      <c r="L82" s="193">
        <v>82379</v>
      </c>
      <c r="M82" s="185">
        <f t="shared" si="0"/>
        <v>14430</v>
      </c>
      <c r="N82" s="344">
        <v>14430</v>
      </c>
      <c r="O82" s="143"/>
      <c r="P82" s="183">
        <f t="shared" si="1"/>
        <v>0.17516600104395538</v>
      </c>
      <c r="Q82" s="818"/>
      <c r="R82" s="679" t="s">
        <v>611</v>
      </c>
      <c r="S82" s="376">
        <f t="shared" si="4"/>
        <v>0.82483399895604459</v>
      </c>
      <c r="T82" s="5">
        <f t="shared" si="5"/>
        <v>67949</v>
      </c>
    </row>
    <row r="83" spans="1:20" ht="45" x14ac:dyDescent="0.25">
      <c r="A83" s="920">
        <v>23</v>
      </c>
      <c r="B83" s="937" t="s">
        <v>4</v>
      </c>
      <c r="C83" s="937" t="s">
        <v>162</v>
      </c>
      <c r="D83" s="788" t="s">
        <v>671</v>
      </c>
      <c r="E83" s="938" t="s">
        <v>205</v>
      </c>
      <c r="F83" s="921" t="s">
        <v>10</v>
      </c>
      <c r="G83" s="842">
        <v>593179</v>
      </c>
      <c r="H83" s="1006" t="s">
        <v>508</v>
      </c>
      <c r="I83" s="953" t="s">
        <v>276</v>
      </c>
      <c r="J83" s="325" t="s">
        <v>140</v>
      </c>
      <c r="K83" s="906" t="s">
        <v>229</v>
      </c>
      <c r="L83" s="193">
        <v>12000</v>
      </c>
      <c r="M83" s="326">
        <f t="shared" si="0"/>
        <v>12000</v>
      </c>
      <c r="N83" s="344">
        <v>12000</v>
      </c>
      <c r="O83" s="143"/>
      <c r="P83" s="331">
        <f t="shared" si="1"/>
        <v>1</v>
      </c>
      <c r="Q83" s="816">
        <f>(M83+M84)/G83</f>
        <v>2.2531141527262429E-2</v>
      </c>
      <c r="R83" s="681" t="s">
        <v>612</v>
      </c>
      <c r="S83" s="376">
        <f t="shared" si="4"/>
        <v>0</v>
      </c>
      <c r="T83" s="5">
        <f t="shared" si="5"/>
        <v>0</v>
      </c>
    </row>
    <row r="84" spans="1:20" ht="87" x14ac:dyDescent="0.25">
      <c r="A84" s="920"/>
      <c r="B84" s="937"/>
      <c r="C84" s="937"/>
      <c r="D84" s="789"/>
      <c r="E84" s="938"/>
      <c r="F84" s="921"/>
      <c r="G84" s="843"/>
      <c r="H84" s="955"/>
      <c r="I84" s="953"/>
      <c r="J84" s="325" t="s">
        <v>154</v>
      </c>
      <c r="K84" s="859"/>
      <c r="L84" s="193">
        <v>12000</v>
      </c>
      <c r="M84" s="326">
        <f t="shared" si="0"/>
        <v>1365</v>
      </c>
      <c r="N84" s="344">
        <v>1365</v>
      </c>
      <c r="O84" s="143"/>
      <c r="P84" s="331">
        <f t="shared" si="1"/>
        <v>0.11375</v>
      </c>
      <c r="Q84" s="818"/>
      <c r="R84" s="681" t="s">
        <v>613</v>
      </c>
      <c r="S84" s="376">
        <f t="shared" si="4"/>
        <v>0.88624999999999998</v>
      </c>
      <c r="T84" s="5">
        <f t="shared" si="5"/>
        <v>10635</v>
      </c>
    </row>
    <row r="85" spans="1:20" ht="141" x14ac:dyDescent="0.25">
      <c r="A85" s="803">
        <v>24</v>
      </c>
      <c r="B85" s="924" t="s">
        <v>4</v>
      </c>
      <c r="C85" s="924" t="s">
        <v>340</v>
      </c>
      <c r="D85" s="788" t="s">
        <v>664</v>
      </c>
      <c r="E85" s="926" t="s">
        <v>439</v>
      </c>
      <c r="F85" s="922" t="s">
        <v>8</v>
      </c>
      <c r="G85" s="932">
        <v>4012156.19</v>
      </c>
      <c r="H85" s="960" t="s">
        <v>512</v>
      </c>
      <c r="I85" s="936" t="s">
        <v>376</v>
      </c>
      <c r="J85" s="335" t="s">
        <v>142</v>
      </c>
      <c r="K85" s="442" t="s">
        <v>343</v>
      </c>
      <c r="L85" s="336">
        <v>152732.25</v>
      </c>
      <c r="M85" s="337">
        <v>152732.25</v>
      </c>
      <c r="N85" s="256">
        <v>152732.25</v>
      </c>
      <c r="O85" s="333"/>
      <c r="P85" s="331">
        <f t="shared" si="1"/>
        <v>1</v>
      </c>
      <c r="Q85" s="324">
        <f>M85/G85</f>
        <v>3.8067373942388821E-2</v>
      </c>
      <c r="R85" s="682" t="s">
        <v>614</v>
      </c>
      <c r="S85" s="376">
        <f t="shared" si="4"/>
        <v>0</v>
      </c>
      <c r="T85" s="5">
        <f t="shared" si="5"/>
        <v>0</v>
      </c>
    </row>
    <row r="86" spans="1:20" ht="106.5" customHeight="1" x14ac:dyDescent="0.25">
      <c r="A86" s="806"/>
      <c r="B86" s="925"/>
      <c r="C86" s="925"/>
      <c r="D86" s="789"/>
      <c r="E86" s="927"/>
      <c r="F86" s="923"/>
      <c r="G86" s="901"/>
      <c r="H86" s="958"/>
      <c r="I86" s="1004"/>
      <c r="J86" s="411" t="s">
        <v>142</v>
      </c>
      <c r="K86" s="412" t="s">
        <v>415</v>
      </c>
      <c r="L86" s="336">
        <v>1141.9000000000001</v>
      </c>
      <c r="M86" s="337">
        <v>1141.9000000000001</v>
      </c>
      <c r="N86" s="256">
        <v>1141.9000000000001</v>
      </c>
      <c r="O86" s="333"/>
      <c r="P86" s="331">
        <f t="shared" si="1"/>
        <v>1</v>
      </c>
      <c r="Q86" s="410">
        <f>M86/G85</f>
        <v>2.8461005651926033E-4</v>
      </c>
      <c r="R86" s="682" t="s">
        <v>615</v>
      </c>
      <c r="S86" s="376">
        <f t="shared" si="4"/>
        <v>0</v>
      </c>
      <c r="T86" s="5">
        <f t="shared" si="5"/>
        <v>0</v>
      </c>
    </row>
    <row r="87" spans="1:20" ht="192" x14ac:dyDescent="0.25">
      <c r="A87" s="323">
        <v>25</v>
      </c>
      <c r="B87" s="328" t="s">
        <v>4</v>
      </c>
      <c r="C87" s="565" t="s">
        <v>344</v>
      </c>
      <c r="D87" s="720" t="s">
        <v>668</v>
      </c>
      <c r="E87" s="363" t="s">
        <v>387</v>
      </c>
      <c r="F87" s="332" t="s">
        <v>28</v>
      </c>
      <c r="G87" s="327">
        <v>34371616</v>
      </c>
      <c r="H87" s="573" t="s">
        <v>72</v>
      </c>
      <c r="I87" s="213" t="s">
        <v>166</v>
      </c>
      <c r="J87" s="335" t="s">
        <v>342</v>
      </c>
      <c r="K87" s="351" t="s">
        <v>341</v>
      </c>
      <c r="L87" s="337">
        <v>75625</v>
      </c>
      <c r="M87" s="337">
        <v>75625</v>
      </c>
      <c r="N87" s="329"/>
      <c r="O87" s="330">
        <v>75625</v>
      </c>
      <c r="P87" s="331">
        <f>M87/L87</f>
        <v>1</v>
      </c>
      <c r="Q87" s="324">
        <f>M87/G87</f>
        <v>2.2002165973226281E-3</v>
      </c>
      <c r="R87" s="682" t="s">
        <v>616</v>
      </c>
      <c r="S87" s="376">
        <f t="shared" si="4"/>
        <v>0</v>
      </c>
      <c r="T87" s="5">
        <f t="shared" si="5"/>
        <v>0</v>
      </c>
    </row>
    <row r="88" spans="1:20" ht="224.25" customHeight="1" x14ac:dyDescent="0.25">
      <c r="A88" s="928">
        <v>26</v>
      </c>
      <c r="B88" s="929" t="s">
        <v>4</v>
      </c>
      <c r="C88" s="929" t="s">
        <v>345</v>
      </c>
      <c r="D88" s="788" t="s">
        <v>672</v>
      </c>
      <c r="E88" s="941" t="s">
        <v>471</v>
      </c>
      <c r="F88" s="931" t="s">
        <v>8</v>
      </c>
      <c r="G88" s="932">
        <v>40000000</v>
      </c>
      <c r="H88" s="960" t="s">
        <v>513</v>
      </c>
      <c r="I88" s="936" t="s">
        <v>377</v>
      </c>
      <c r="J88" s="947" t="s">
        <v>151</v>
      </c>
      <c r="K88" s="351" t="s">
        <v>361</v>
      </c>
      <c r="L88" s="337">
        <v>106552.6</v>
      </c>
      <c r="M88" s="337">
        <v>106552.6</v>
      </c>
      <c r="N88" s="401">
        <v>106552.6</v>
      </c>
      <c r="O88" s="389"/>
      <c r="P88" s="331">
        <f>M88/L88</f>
        <v>1</v>
      </c>
      <c r="Q88" s="816">
        <f>(M88+M89+M90+M91+M92+M93)/G88</f>
        <v>5.0362121250000003E-2</v>
      </c>
      <c r="R88" s="682" t="s">
        <v>617</v>
      </c>
      <c r="S88" s="376">
        <f t="shared" si="4"/>
        <v>0</v>
      </c>
      <c r="T88" s="5">
        <f t="shared" si="5"/>
        <v>0</v>
      </c>
    </row>
    <row r="89" spans="1:20" ht="243" x14ac:dyDescent="0.25">
      <c r="A89" s="804"/>
      <c r="B89" s="797"/>
      <c r="C89" s="934"/>
      <c r="D89" s="790"/>
      <c r="E89" s="942"/>
      <c r="F89" s="943"/>
      <c r="G89" s="944"/>
      <c r="H89" s="957"/>
      <c r="I89" s="945"/>
      <c r="J89" s="948"/>
      <c r="K89" s="351" t="s">
        <v>361</v>
      </c>
      <c r="L89" s="341">
        <v>29253.88</v>
      </c>
      <c r="M89" s="341">
        <v>29253.88</v>
      </c>
      <c r="N89" s="393">
        <v>29253.88</v>
      </c>
      <c r="O89" s="390"/>
      <c r="P89" s="331">
        <f>M89/L89</f>
        <v>1</v>
      </c>
      <c r="Q89" s="817"/>
      <c r="R89" s="682" t="s">
        <v>618</v>
      </c>
      <c r="S89" s="376">
        <f t="shared" si="4"/>
        <v>0</v>
      </c>
      <c r="T89" s="5">
        <f t="shared" si="5"/>
        <v>0</v>
      </c>
    </row>
    <row r="90" spans="1:20" ht="279" customHeight="1" x14ac:dyDescent="0.25">
      <c r="A90" s="804"/>
      <c r="B90" s="797"/>
      <c r="C90" s="934"/>
      <c r="D90" s="790"/>
      <c r="E90" s="942"/>
      <c r="F90" s="943"/>
      <c r="G90" s="944"/>
      <c r="H90" s="957"/>
      <c r="I90" s="945"/>
      <c r="J90" s="948"/>
      <c r="K90" s="351" t="s">
        <v>362</v>
      </c>
      <c r="L90" s="341">
        <v>593135.94999999995</v>
      </c>
      <c r="M90" s="341">
        <v>593135.94999999995</v>
      </c>
      <c r="N90" s="393">
        <v>593135.94999999995</v>
      </c>
      <c r="O90" s="390"/>
      <c r="P90" s="331">
        <f>M90/L90</f>
        <v>1</v>
      </c>
      <c r="Q90" s="817"/>
      <c r="R90" s="682" t="s">
        <v>619</v>
      </c>
      <c r="S90" s="376">
        <f t="shared" si="4"/>
        <v>0</v>
      </c>
      <c r="T90" s="5">
        <f t="shared" si="5"/>
        <v>0</v>
      </c>
    </row>
    <row r="91" spans="1:20" ht="271.5" customHeight="1" x14ac:dyDescent="0.25">
      <c r="A91" s="804"/>
      <c r="B91" s="797"/>
      <c r="C91" s="934"/>
      <c r="D91" s="790"/>
      <c r="E91" s="942"/>
      <c r="F91" s="943"/>
      <c r="G91" s="944"/>
      <c r="H91" s="957"/>
      <c r="I91" s="945"/>
      <c r="J91" s="948"/>
      <c r="K91" s="351" t="s">
        <v>361</v>
      </c>
      <c r="L91" s="341">
        <v>71182.179999999993</v>
      </c>
      <c r="M91" s="341">
        <v>71182.179999999993</v>
      </c>
      <c r="N91" s="393">
        <v>71182.179999999993</v>
      </c>
      <c r="O91" s="390"/>
      <c r="P91" s="331">
        <f>M91/L91</f>
        <v>1</v>
      </c>
      <c r="Q91" s="817"/>
      <c r="R91" s="682" t="s">
        <v>620</v>
      </c>
      <c r="S91" s="376">
        <f t="shared" si="4"/>
        <v>0</v>
      </c>
      <c r="T91" s="5">
        <f t="shared" si="5"/>
        <v>0</v>
      </c>
    </row>
    <row r="92" spans="1:20" ht="227.25" customHeight="1" x14ac:dyDescent="0.25">
      <c r="A92" s="804"/>
      <c r="B92" s="797"/>
      <c r="C92" s="934"/>
      <c r="D92" s="790"/>
      <c r="E92" s="942"/>
      <c r="F92" s="943"/>
      <c r="G92" s="944"/>
      <c r="H92" s="957"/>
      <c r="I92" s="945"/>
      <c r="J92" s="948"/>
      <c r="K92" s="352" t="s">
        <v>361</v>
      </c>
      <c r="L92" s="343">
        <v>482088.81</v>
      </c>
      <c r="M92" s="343">
        <v>482088.81</v>
      </c>
      <c r="N92" s="393">
        <v>482088.81</v>
      </c>
      <c r="O92" s="390"/>
      <c r="P92" s="342">
        <f t="shared" ref="P92:P113" si="7">M92/L92</f>
        <v>1</v>
      </c>
      <c r="Q92" s="817"/>
      <c r="R92" s="682" t="s">
        <v>621</v>
      </c>
      <c r="S92" s="376">
        <f t="shared" si="4"/>
        <v>0</v>
      </c>
      <c r="T92" s="5">
        <f t="shared" si="5"/>
        <v>0</v>
      </c>
    </row>
    <row r="93" spans="1:20" ht="183" x14ac:dyDescent="0.25">
      <c r="A93" s="805"/>
      <c r="B93" s="790"/>
      <c r="C93" s="790"/>
      <c r="D93" s="790"/>
      <c r="E93" s="790"/>
      <c r="F93" s="790"/>
      <c r="G93" s="933"/>
      <c r="H93" s="957"/>
      <c r="I93" s="945"/>
      <c r="J93" s="387"/>
      <c r="K93" s="392" t="s">
        <v>403</v>
      </c>
      <c r="L93" s="343">
        <v>732271.43</v>
      </c>
      <c r="M93" s="343">
        <v>732271.43</v>
      </c>
      <c r="N93" s="402">
        <v>732271.43</v>
      </c>
      <c r="O93" s="391"/>
      <c r="P93" s="386">
        <f t="shared" si="7"/>
        <v>1</v>
      </c>
      <c r="Q93" s="829"/>
      <c r="R93" s="682" t="s">
        <v>622</v>
      </c>
      <c r="S93" s="376">
        <f t="shared" si="4"/>
        <v>0</v>
      </c>
      <c r="T93" s="5">
        <f t="shared" si="5"/>
        <v>0</v>
      </c>
    </row>
    <row r="94" spans="1:20" ht="69" customHeight="1" x14ac:dyDescent="0.25">
      <c r="A94" s="805"/>
      <c r="B94" s="790"/>
      <c r="C94" s="790"/>
      <c r="D94" s="790"/>
      <c r="E94" s="790"/>
      <c r="F94" s="790"/>
      <c r="G94" s="933"/>
      <c r="H94" s="957"/>
      <c r="I94" s="945"/>
      <c r="J94" s="548" t="s">
        <v>412</v>
      </c>
      <c r="K94" s="550" t="s">
        <v>492</v>
      </c>
      <c r="L94" s="343">
        <v>0</v>
      </c>
      <c r="M94" s="343">
        <v>0</v>
      </c>
      <c r="N94" s="479">
        <v>0</v>
      </c>
      <c r="O94" s="391">
        <v>0</v>
      </c>
      <c r="P94" s="546">
        <v>0</v>
      </c>
      <c r="Q94" s="547"/>
      <c r="R94" s="549" t="s">
        <v>623</v>
      </c>
      <c r="S94" s="376" t="e">
        <f t="shared" si="4"/>
        <v>#DIV/0!</v>
      </c>
      <c r="T94" s="5">
        <f t="shared" si="5"/>
        <v>0</v>
      </c>
    </row>
    <row r="95" spans="1:20" ht="69.75" customHeight="1" x14ac:dyDescent="0.25">
      <c r="A95" s="806"/>
      <c r="B95" s="789"/>
      <c r="C95" s="789"/>
      <c r="D95" s="789"/>
      <c r="E95" s="789"/>
      <c r="F95" s="789"/>
      <c r="G95" s="901"/>
      <c r="H95" s="958"/>
      <c r="I95" s="946"/>
      <c r="J95" s="478" t="s">
        <v>412</v>
      </c>
      <c r="K95" s="480" t="s">
        <v>454</v>
      </c>
      <c r="L95" s="343">
        <v>0</v>
      </c>
      <c r="M95" s="343">
        <v>0</v>
      </c>
      <c r="N95" s="479">
        <v>0</v>
      </c>
      <c r="O95" s="391">
        <v>0</v>
      </c>
      <c r="P95" s="476">
        <v>0</v>
      </c>
      <c r="Q95" s="477"/>
      <c r="R95" s="682" t="s">
        <v>624</v>
      </c>
      <c r="S95" s="376" t="e">
        <f t="shared" si="4"/>
        <v>#DIV/0!</v>
      </c>
      <c r="T95" s="5">
        <f t="shared" si="5"/>
        <v>0</v>
      </c>
    </row>
    <row r="96" spans="1:20" ht="168" x14ac:dyDescent="0.25">
      <c r="A96" s="903">
        <v>27</v>
      </c>
      <c r="B96" s="902" t="s">
        <v>4</v>
      </c>
      <c r="C96" s="902" t="s">
        <v>348</v>
      </c>
      <c r="D96" s="791" t="s">
        <v>672</v>
      </c>
      <c r="E96" s="935" t="s">
        <v>472</v>
      </c>
      <c r="F96" s="931" t="s">
        <v>8</v>
      </c>
      <c r="G96" s="932">
        <v>36420736.979999997</v>
      </c>
      <c r="H96" s="960" t="s">
        <v>72</v>
      </c>
      <c r="I96" s="936" t="s">
        <v>203</v>
      </c>
      <c r="J96" s="350" t="s">
        <v>151</v>
      </c>
      <c r="K96" s="354" t="s">
        <v>364</v>
      </c>
      <c r="L96" s="209">
        <v>20570</v>
      </c>
      <c r="M96" s="209">
        <f>N96+O96</f>
        <v>2762.5</v>
      </c>
      <c r="N96" s="192">
        <v>2762.5</v>
      </c>
      <c r="O96" s="190"/>
      <c r="P96" s="331">
        <f t="shared" si="7"/>
        <v>0.13429752066115702</v>
      </c>
      <c r="Q96" s="331">
        <f>M96/G96</f>
        <v>7.584964580801847E-5</v>
      </c>
      <c r="R96" s="681" t="s">
        <v>625</v>
      </c>
      <c r="S96" s="376">
        <f t="shared" si="4"/>
        <v>0.86570247933884292</v>
      </c>
      <c r="T96" s="5">
        <f t="shared" si="5"/>
        <v>17807.5</v>
      </c>
    </row>
    <row r="97" spans="1:20" ht="139.5" customHeight="1" x14ac:dyDescent="0.25">
      <c r="A97" s="806"/>
      <c r="B97" s="792"/>
      <c r="C97" s="792"/>
      <c r="D97" s="792"/>
      <c r="E97" s="792"/>
      <c r="F97" s="789"/>
      <c r="G97" s="901"/>
      <c r="H97" s="958"/>
      <c r="I97" s="789"/>
      <c r="J97" s="678" t="s">
        <v>571</v>
      </c>
      <c r="K97" s="519" t="s">
        <v>473</v>
      </c>
      <c r="L97" s="209">
        <v>5932670.2699999996</v>
      </c>
      <c r="M97" s="209">
        <f>N97+O97</f>
        <v>5932670.2699999996</v>
      </c>
      <c r="N97" s="192">
        <v>5932670.2699999996</v>
      </c>
      <c r="O97" s="190"/>
      <c r="P97" s="331">
        <f t="shared" si="7"/>
        <v>1</v>
      </c>
      <c r="Q97" s="331">
        <f>M97/G96</f>
        <v>0.16289264748425747</v>
      </c>
      <c r="R97" s="681" t="s">
        <v>634</v>
      </c>
      <c r="S97" s="376"/>
      <c r="T97" s="5"/>
    </row>
    <row r="98" spans="1:20" ht="117" customHeight="1" x14ac:dyDescent="0.25">
      <c r="A98" s="903">
        <v>28</v>
      </c>
      <c r="B98" s="902" t="s">
        <v>4</v>
      </c>
      <c r="C98" s="796" t="s">
        <v>360</v>
      </c>
      <c r="D98" s="788" t="s">
        <v>672</v>
      </c>
      <c r="E98" s="930" t="s">
        <v>416</v>
      </c>
      <c r="F98" s="931" t="s">
        <v>8</v>
      </c>
      <c r="G98" s="932">
        <v>135462141.78</v>
      </c>
      <c r="H98" s="960" t="s">
        <v>72</v>
      </c>
      <c r="I98" s="936" t="s">
        <v>203</v>
      </c>
      <c r="J98" s="1007" t="s">
        <v>498</v>
      </c>
      <c r="K98" s="361" t="s">
        <v>371</v>
      </c>
      <c r="L98" s="209">
        <v>344617.16</v>
      </c>
      <c r="M98" s="209">
        <v>344617.16</v>
      </c>
      <c r="N98" s="192">
        <v>344617.16</v>
      </c>
      <c r="O98" s="190"/>
      <c r="P98" s="331">
        <f t="shared" si="7"/>
        <v>1</v>
      </c>
      <c r="Q98" s="816">
        <f>(M98+M99)/G98</f>
        <v>1.5679430223755616E-2</v>
      </c>
      <c r="R98" s="681" t="s">
        <v>626</v>
      </c>
      <c r="S98" s="376">
        <f t="shared" si="4"/>
        <v>0</v>
      </c>
      <c r="T98" s="5">
        <f t="shared" si="5"/>
        <v>0</v>
      </c>
    </row>
    <row r="99" spans="1:20" ht="157.5" customHeight="1" x14ac:dyDescent="0.25">
      <c r="A99" s="805"/>
      <c r="B99" s="850"/>
      <c r="C99" s="790"/>
      <c r="D99" s="790"/>
      <c r="E99" s="790"/>
      <c r="F99" s="790"/>
      <c r="G99" s="933"/>
      <c r="H99" s="957"/>
      <c r="I99" s="790"/>
      <c r="J99" s="790"/>
      <c r="K99" s="418" t="s">
        <v>407</v>
      </c>
      <c r="L99" s="419">
        <v>1779352.04</v>
      </c>
      <c r="M99" s="419">
        <v>1779352.04</v>
      </c>
      <c r="N99" s="403">
        <v>1779352.04</v>
      </c>
      <c r="O99" s="420"/>
      <c r="P99" s="417">
        <f t="shared" si="7"/>
        <v>1</v>
      </c>
      <c r="Q99" s="828"/>
      <c r="R99" s="683" t="s">
        <v>627</v>
      </c>
      <c r="S99" s="398">
        <f t="shared" si="4"/>
        <v>0</v>
      </c>
      <c r="T99" s="37">
        <f t="shared" si="5"/>
        <v>0</v>
      </c>
    </row>
    <row r="100" spans="1:20" ht="153" customHeight="1" x14ac:dyDescent="0.25">
      <c r="A100" s="805"/>
      <c r="B100" s="850"/>
      <c r="C100" s="790"/>
      <c r="D100" s="790"/>
      <c r="E100" s="790"/>
      <c r="F100" s="790"/>
      <c r="G100" s="933"/>
      <c r="H100" s="957"/>
      <c r="I100" s="790"/>
      <c r="J100" s="520" t="s">
        <v>139</v>
      </c>
      <c r="K100" s="543" t="s">
        <v>482</v>
      </c>
      <c r="L100" s="454">
        <v>23435162.289999999</v>
      </c>
      <c r="M100" s="454">
        <f>SUM(N100+O100)</f>
        <v>23435162.289999999</v>
      </c>
      <c r="N100" s="434">
        <v>19367902.710000001</v>
      </c>
      <c r="O100" s="422">
        <v>4067259.58</v>
      </c>
      <c r="P100" s="423">
        <f t="shared" si="7"/>
        <v>1</v>
      </c>
      <c r="Q100" s="545">
        <f>M100/G98</f>
        <v>0.17300156325639929</v>
      </c>
      <c r="R100" s="684" t="s">
        <v>635</v>
      </c>
      <c r="S100" s="398">
        <f t="shared" si="4"/>
        <v>0</v>
      </c>
      <c r="T100" s="37">
        <f t="shared" si="5"/>
        <v>0</v>
      </c>
    </row>
    <row r="101" spans="1:20" ht="129" customHeight="1" x14ac:dyDescent="0.25">
      <c r="A101" s="806"/>
      <c r="B101" s="792"/>
      <c r="C101" s="789"/>
      <c r="D101" s="789"/>
      <c r="E101" s="789"/>
      <c r="F101" s="789"/>
      <c r="G101" s="901"/>
      <c r="H101" s="958"/>
      <c r="I101" s="789"/>
      <c r="J101" s="520" t="s">
        <v>412</v>
      </c>
      <c r="K101" s="517" t="s">
        <v>464</v>
      </c>
      <c r="L101" s="454">
        <v>0</v>
      </c>
      <c r="M101" s="454">
        <v>0</v>
      </c>
      <c r="N101" s="434">
        <v>0</v>
      </c>
      <c r="O101" s="422"/>
      <c r="P101" s="423">
        <v>0</v>
      </c>
      <c r="Q101" s="4"/>
      <c r="R101" s="684" t="s">
        <v>628</v>
      </c>
      <c r="S101" s="398" t="e">
        <f t="shared" si="4"/>
        <v>#DIV/0!</v>
      </c>
      <c r="T101" s="37">
        <f t="shared" si="5"/>
        <v>0</v>
      </c>
    </row>
    <row r="102" spans="1:20" ht="104.25" customHeight="1" x14ac:dyDescent="0.25">
      <c r="A102" s="421">
        <v>29</v>
      </c>
      <c r="B102" s="11" t="s">
        <v>4</v>
      </c>
      <c r="C102" s="435" t="s">
        <v>432</v>
      </c>
      <c r="D102" s="435" t="s">
        <v>671</v>
      </c>
      <c r="E102" s="452" t="s">
        <v>433</v>
      </c>
      <c r="F102" s="436" t="s">
        <v>428</v>
      </c>
      <c r="G102" s="437">
        <v>1749549.32</v>
      </c>
      <c r="H102" s="572" t="s">
        <v>526</v>
      </c>
      <c r="I102" s="444" t="s">
        <v>203</v>
      </c>
      <c r="J102" s="444" t="s">
        <v>434</v>
      </c>
      <c r="K102" s="521" t="s">
        <v>474</v>
      </c>
      <c r="L102" s="443">
        <v>40274.5</v>
      </c>
      <c r="M102" s="443">
        <v>40274.5</v>
      </c>
      <c r="N102" s="433">
        <v>40274.5</v>
      </c>
      <c r="O102" s="422"/>
      <c r="P102" s="423">
        <f t="shared" si="7"/>
        <v>1</v>
      </c>
      <c r="Q102" s="540">
        <f>M102/G102</f>
        <v>2.3019928355034882E-2</v>
      </c>
      <c r="R102" s="681" t="s">
        <v>629</v>
      </c>
      <c r="S102" s="398">
        <f t="shared" si="4"/>
        <v>0</v>
      </c>
      <c r="T102" s="37">
        <f t="shared" si="5"/>
        <v>0</v>
      </c>
    </row>
    <row r="103" spans="1:20" ht="75" customHeight="1" x14ac:dyDescent="0.25">
      <c r="A103" s="421">
        <v>30</v>
      </c>
      <c r="B103" s="11" t="s">
        <v>4</v>
      </c>
      <c r="C103" s="508" t="s">
        <v>460</v>
      </c>
      <c r="D103" s="435" t="s">
        <v>669</v>
      </c>
      <c r="E103" s="509" t="s">
        <v>461</v>
      </c>
      <c r="F103" s="510" t="s">
        <v>23</v>
      </c>
      <c r="G103" s="437">
        <v>371369</v>
      </c>
      <c r="H103" s="572" t="s">
        <v>527</v>
      </c>
      <c r="I103" s="507" t="s">
        <v>528</v>
      </c>
      <c r="J103" s="511" t="s">
        <v>430</v>
      </c>
      <c r="K103" s="512" t="s">
        <v>462</v>
      </c>
      <c r="L103" s="513" t="s">
        <v>463</v>
      </c>
      <c r="M103" s="454"/>
      <c r="N103" s="434"/>
      <c r="O103" s="422"/>
      <c r="P103" s="423"/>
      <c r="Q103" s="540"/>
      <c r="R103" s="561" t="s">
        <v>523</v>
      </c>
      <c r="S103" s="398"/>
      <c r="T103" s="37"/>
    </row>
    <row r="104" spans="1:20" ht="99" customHeight="1" x14ac:dyDescent="0.25">
      <c r="A104" s="421">
        <v>31</v>
      </c>
      <c r="B104" s="11" t="s">
        <v>4</v>
      </c>
      <c r="C104" s="435" t="s">
        <v>479</v>
      </c>
      <c r="D104" s="508" t="s">
        <v>665</v>
      </c>
      <c r="E104" s="553" t="s">
        <v>499</v>
      </c>
      <c r="F104" s="539" t="s">
        <v>8</v>
      </c>
      <c r="G104" s="437">
        <v>99892339.069999993</v>
      </c>
      <c r="H104" s="572" t="s">
        <v>72</v>
      </c>
      <c r="I104" s="538" t="s">
        <v>165</v>
      </c>
      <c r="J104" s="538" t="s">
        <v>500</v>
      </c>
      <c r="K104" s="555" t="s">
        <v>501</v>
      </c>
      <c r="L104" s="513">
        <v>0</v>
      </c>
      <c r="M104" s="454">
        <v>0</v>
      </c>
      <c r="N104" s="554">
        <v>0</v>
      </c>
      <c r="O104" s="422">
        <v>0</v>
      </c>
      <c r="P104" s="423">
        <v>0</v>
      </c>
      <c r="Q104" s="540"/>
      <c r="R104" s="561" t="s">
        <v>524</v>
      </c>
      <c r="S104" s="398"/>
      <c r="T104" s="37"/>
    </row>
    <row r="105" spans="1:20" ht="75" customHeight="1" x14ac:dyDescent="0.25">
      <c r="A105" s="421">
        <v>32</v>
      </c>
      <c r="B105" s="11" t="s">
        <v>4</v>
      </c>
      <c r="C105" s="435" t="s">
        <v>493</v>
      </c>
      <c r="D105" s="508" t="s">
        <v>668</v>
      </c>
      <c r="E105" s="11" t="s">
        <v>496</v>
      </c>
      <c r="F105" s="552" t="s">
        <v>494</v>
      </c>
      <c r="G105" s="437">
        <v>10453725</v>
      </c>
      <c r="H105" s="572" t="s">
        <v>72</v>
      </c>
      <c r="I105" s="551" t="s">
        <v>166</v>
      </c>
      <c r="J105" s="551" t="s">
        <v>430</v>
      </c>
      <c r="K105" s="552" t="s">
        <v>495</v>
      </c>
      <c r="L105" s="513">
        <v>38720</v>
      </c>
      <c r="M105" s="454">
        <v>0</v>
      </c>
      <c r="N105" s="434">
        <v>0</v>
      </c>
      <c r="O105" s="422">
        <v>0</v>
      </c>
      <c r="P105" s="423">
        <f t="shared" si="7"/>
        <v>0</v>
      </c>
      <c r="Q105" s="540">
        <f t="shared" ref="Q105:Q107" si="8">M105/G105</f>
        <v>0</v>
      </c>
      <c r="R105" s="561" t="s">
        <v>525</v>
      </c>
      <c r="S105" s="398"/>
      <c r="T105" s="37"/>
    </row>
    <row r="106" spans="1:20" ht="88.5" customHeight="1" x14ac:dyDescent="0.25">
      <c r="A106" s="421">
        <v>33</v>
      </c>
      <c r="B106" s="11" t="s">
        <v>4</v>
      </c>
      <c r="C106" s="721" t="s">
        <v>676</v>
      </c>
      <c r="D106" s="508" t="s">
        <v>666</v>
      </c>
      <c r="E106" s="421">
        <v>2014</v>
      </c>
      <c r="F106" s="727" t="s">
        <v>678</v>
      </c>
      <c r="G106" s="437">
        <v>5494071</v>
      </c>
      <c r="H106" s="572" t="s">
        <v>509</v>
      </c>
      <c r="I106" s="724" t="s">
        <v>167</v>
      </c>
      <c r="J106" s="724" t="s">
        <v>680</v>
      </c>
      <c r="K106" s="727" t="s">
        <v>679</v>
      </c>
      <c r="L106" s="513">
        <v>109471</v>
      </c>
      <c r="M106" s="454">
        <v>109471</v>
      </c>
      <c r="N106" s="433">
        <v>109471</v>
      </c>
      <c r="O106" s="422">
        <v>0</v>
      </c>
      <c r="P106" s="423">
        <f t="shared" si="7"/>
        <v>1</v>
      </c>
      <c r="Q106" s="540">
        <f t="shared" si="8"/>
        <v>1.992529765268778E-2</v>
      </c>
      <c r="R106" s="736" t="s">
        <v>695</v>
      </c>
      <c r="S106" s="398"/>
      <c r="T106" s="37"/>
    </row>
    <row r="107" spans="1:20" ht="102.75" customHeight="1" x14ac:dyDescent="0.25">
      <c r="A107" s="421">
        <v>34</v>
      </c>
      <c r="B107" s="11" t="s">
        <v>4</v>
      </c>
      <c r="C107" s="725" t="s">
        <v>677</v>
      </c>
      <c r="D107" s="508" t="s">
        <v>666</v>
      </c>
      <c r="E107" s="421">
        <v>2014</v>
      </c>
      <c r="F107" s="727" t="s">
        <v>678</v>
      </c>
      <c r="G107" s="437">
        <v>1671074</v>
      </c>
      <c r="H107" s="572" t="s">
        <v>509</v>
      </c>
      <c r="I107" s="724" t="s">
        <v>167</v>
      </c>
      <c r="J107" s="724" t="s">
        <v>680</v>
      </c>
      <c r="K107" s="727" t="s">
        <v>679</v>
      </c>
      <c r="L107" s="513">
        <v>129560</v>
      </c>
      <c r="M107" s="454">
        <v>129560</v>
      </c>
      <c r="N107" s="433">
        <v>129560</v>
      </c>
      <c r="O107" s="422">
        <v>0</v>
      </c>
      <c r="P107" s="423">
        <f t="shared" si="7"/>
        <v>1</v>
      </c>
      <c r="Q107" s="540">
        <f t="shared" si="8"/>
        <v>7.7530977084198552E-2</v>
      </c>
      <c r="R107" s="736" t="s">
        <v>696</v>
      </c>
      <c r="S107" s="398"/>
      <c r="T107" s="37"/>
    </row>
    <row r="108" spans="1:20" ht="79.5" customHeight="1" x14ac:dyDescent="0.25">
      <c r="A108" s="421" t="s">
        <v>425</v>
      </c>
      <c r="B108" s="11" t="s">
        <v>4</v>
      </c>
      <c r="C108" s="721" t="s">
        <v>423</v>
      </c>
      <c r="D108" s="428" t="s">
        <v>666</v>
      </c>
      <c r="E108" s="444" t="s">
        <v>426</v>
      </c>
      <c r="F108" s="444" t="s">
        <v>428</v>
      </c>
      <c r="G108" s="453">
        <v>2478282.9</v>
      </c>
      <c r="H108" s="572" t="s">
        <v>509</v>
      </c>
      <c r="I108" s="444" t="s">
        <v>167</v>
      </c>
      <c r="J108" s="444" t="s">
        <v>430</v>
      </c>
      <c r="K108" s="441" t="s">
        <v>440</v>
      </c>
      <c r="L108" s="443">
        <v>206894.19</v>
      </c>
      <c r="M108" s="443">
        <v>206894.19</v>
      </c>
      <c r="N108" s="433">
        <v>206894.19</v>
      </c>
      <c r="O108" s="422"/>
      <c r="P108" s="423">
        <f t="shared" si="7"/>
        <v>1</v>
      </c>
      <c r="Q108" s="540">
        <f>M108/G108</f>
        <v>8.3482878407465114E-2</v>
      </c>
      <c r="R108" s="737" t="s">
        <v>630</v>
      </c>
      <c r="S108" s="398">
        <f t="shared" si="4"/>
        <v>0</v>
      </c>
      <c r="T108" s="37">
        <f t="shared" si="5"/>
        <v>0</v>
      </c>
    </row>
    <row r="109" spans="1:20" ht="139.5" customHeight="1" x14ac:dyDescent="0.25">
      <c r="A109" s="460" t="s">
        <v>425</v>
      </c>
      <c r="B109" s="461" t="s">
        <v>4</v>
      </c>
      <c r="C109" s="721" t="s">
        <v>424</v>
      </c>
      <c r="D109" s="721" t="s">
        <v>666</v>
      </c>
      <c r="E109" s="457" t="s">
        <v>427</v>
      </c>
      <c r="F109" s="456" t="s">
        <v>428</v>
      </c>
      <c r="G109" s="462">
        <v>1301000</v>
      </c>
      <c r="H109" s="572" t="s">
        <v>509</v>
      </c>
      <c r="I109" s="456" t="s">
        <v>167</v>
      </c>
      <c r="J109" s="456" t="s">
        <v>430</v>
      </c>
      <c r="K109" s="463" t="s">
        <v>431</v>
      </c>
      <c r="L109" s="455">
        <v>13528.35</v>
      </c>
      <c r="M109" s="455">
        <v>13528.35</v>
      </c>
      <c r="N109" s="464">
        <v>13528.35</v>
      </c>
      <c r="O109" s="465"/>
      <c r="P109" s="466">
        <f t="shared" si="7"/>
        <v>1</v>
      </c>
      <c r="Q109" s="540">
        <f>M109/G109</f>
        <v>1.0398424289008456E-2</v>
      </c>
      <c r="R109" s="683" t="s">
        <v>631</v>
      </c>
      <c r="S109" s="398">
        <f t="shared" si="4"/>
        <v>0</v>
      </c>
      <c r="T109" s="37">
        <f t="shared" si="5"/>
        <v>0</v>
      </c>
    </row>
    <row r="110" spans="1:20" ht="173.25" customHeight="1" x14ac:dyDescent="0.25">
      <c r="A110" s="914" t="s">
        <v>425</v>
      </c>
      <c r="B110" s="916" t="s">
        <v>4</v>
      </c>
      <c r="C110" s="793" t="s">
        <v>447</v>
      </c>
      <c r="D110" s="793" t="s">
        <v>666</v>
      </c>
      <c r="E110" s="889" t="s">
        <v>448</v>
      </c>
      <c r="F110" s="892" t="s">
        <v>446</v>
      </c>
      <c r="G110" s="917">
        <v>106386773</v>
      </c>
      <c r="H110" s="1003" t="s">
        <v>508</v>
      </c>
      <c r="I110" s="892" t="s">
        <v>452</v>
      </c>
      <c r="J110" s="473" t="s">
        <v>450</v>
      </c>
      <c r="K110" s="474" t="s">
        <v>451</v>
      </c>
      <c r="L110" s="454">
        <v>534795</v>
      </c>
      <c r="M110" s="454">
        <v>534795</v>
      </c>
      <c r="N110" s="433"/>
      <c r="O110" s="422">
        <v>534795</v>
      </c>
      <c r="P110" s="423">
        <f t="shared" si="7"/>
        <v>1</v>
      </c>
      <c r="Q110" s="540">
        <f>M110/G110</f>
        <v>5.0268937098035676E-3</v>
      </c>
      <c r="R110" s="560" t="s">
        <v>455</v>
      </c>
      <c r="S110" s="398">
        <f t="shared" si="4"/>
        <v>0</v>
      </c>
      <c r="T110" s="37">
        <f t="shared" si="5"/>
        <v>0</v>
      </c>
    </row>
    <row r="111" spans="1:20" ht="89.25" customHeight="1" x14ac:dyDescent="0.25">
      <c r="A111" s="805"/>
      <c r="B111" s="850"/>
      <c r="C111" s="887"/>
      <c r="D111" s="790"/>
      <c r="E111" s="890"/>
      <c r="F111" s="790"/>
      <c r="G111" s="918"/>
      <c r="H111" s="805"/>
      <c r="I111" s="790"/>
      <c r="J111" s="473" t="s">
        <v>450</v>
      </c>
      <c r="K111" s="474" t="s">
        <v>451</v>
      </c>
      <c r="L111" s="454">
        <v>165444.20000000001</v>
      </c>
      <c r="M111" s="454">
        <v>165444.20000000001</v>
      </c>
      <c r="N111" s="433"/>
      <c r="O111" s="422">
        <v>165444.20000000001</v>
      </c>
      <c r="P111" s="423">
        <f t="shared" si="7"/>
        <v>1</v>
      </c>
      <c r="Q111" s="540">
        <f>M111/G110*100</f>
        <v>0.15551200147785291</v>
      </c>
      <c r="R111" s="684" t="s">
        <v>632</v>
      </c>
      <c r="S111" s="398">
        <f t="shared" si="4"/>
        <v>0</v>
      </c>
      <c r="T111" s="37">
        <f t="shared" si="5"/>
        <v>0</v>
      </c>
    </row>
    <row r="112" spans="1:20" ht="102" customHeight="1" thickBot="1" x14ac:dyDescent="0.3">
      <c r="A112" s="806"/>
      <c r="B112" s="792"/>
      <c r="C112" s="888"/>
      <c r="D112" s="789"/>
      <c r="E112" s="891"/>
      <c r="F112" s="789"/>
      <c r="G112" s="919"/>
      <c r="H112" s="806"/>
      <c r="I112" s="789"/>
      <c r="J112" s="473" t="s">
        <v>450</v>
      </c>
      <c r="K112" s="474" t="s">
        <v>451</v>
      </c>
      <c r="L112" s="454">
        <v>134481.56</v>
      </c>
      <c r="M112" s="454">
        <v>134481.56</v>
      </c>
      <c r="N112" s="433"/>
      <c r="O112" s="422">
        <v>134481.56</v>
      </c>
      <c r="P112" s="423">
        <f t="shared" si="7"/>
        <v>1</v>
      </c>
      <c r="Q112" s="540">
        <f>M112/G110*100</f>
        <v>0.12640815790135868</v>
      </c>
      <c r="R112" s="684" t="s">
        <v>633</v>
      </c>
      <c r="S112" s="398">
        <f t="shared" si="4"/>
        <v>0</v>
      </c>
      <c r="T112" s="37">
        <f t="shared" si="5"/>
        <v>0</v>
      </c>
    </row>
    <row r="113" spans="1:20" ht="32.25" customHeight="1" thickBot="1" x14ac:dyDescent="0.3">
      <c r="A113" s="911" t="s">
        <v>129</v>
      </c>
      <c r="B113" s="912"/>
      <c r="C113" s="912"/>
      <c r="D113" s="912"/>
      <c r="E113" s="912"/>
      <c r="F113" s="913"/>
      <c r="G113" s="424">
        <f>SUM(G5:G112)</f>
        <v>1436802032.23</v>
      </c>
      <c r="H113" s="424"/>
      <c r="I113" s="425"/>
      <c r="J113" s="426"/>
      <c r="K113" s="427"/>
      <c r="L113" s="447">
        <f>SUM(L5:L112)</f>
        <v>255894841.96999994</v>
      </c>
      <c r="M113" s="448">
        <f>SUM(M5:M112)</f>
        <v>147347095.56999999</v>
      </c>
      <c r="N113" s="449">
        <f>SUM(N5:N112)</f>
        <v>119583598.20000002</v>
      </c>
      <c r="O113" s="450">
        <f>SUM(O5:O112)</f>
        <v>27763497.369999997</v>
      </c>
      <c r="P113" s="451">
        <f t="shared" si="7"/>
        <v>0.5758111200509245</v>
      </c>
      <c r="Q113" s="451">
        <f>M113/G113</f>
        <v>0.10255212079656427</v>
      </c>
      <c r="R113" s="562" t="s">
        <v>211</v>
      </c>
      <c r="S113" s="220">
        <f>T113/L113</f>
        <v>0.4241888799490755</v>
      </c>
      <c r="T113" s="334">
        <f>L113-M113</f>
        <v>108547746.39999995</v>
      </c>
    </row>
    <row r="114" spans="1:20" ht="28.5" customHeight="1" x14ac:dyDescent="0.25">
      <c r="A114" s="221"/>
      <c r="B114" s="246" t="s">
        <v>157</v>
      </c>
      <c r="C114" s="915" t="s">
        <v>226</v>
      </c>
      <c r="D114" s="915"/>
      <c r="E114" s="915"/>
      <c r="F114" s="915"/>
      <c r="G114" s="247"/>
      <c r="H114" s="247"/>
      <c r="I114" s="248"/>
      <c r="J114" s="248"/>
      <c r="K114" s="249"/>
      <c r="L114" s="308" t="s">
        <v>211</v>
      </c>
      <c r="M114" s="222" t="s">
        <v>211</v>
      </c>
      <c r="N114" s="223">
        <f>N5+N6+N8+N10+N11+N12+N13+N14+N15+N16+N17+N18+N19+N20+N21+N22+N23+N28+N30+N31+N32+N33+N34+N35+N36+N38+N39+N42+N45+N47+N48+N57+N58+N60+N63+N64+N70+N73+N74+N75+N80+N81+N82+N83+N84+N85+N86+N102+N106+N107+N108+N109</f>
        <v>15133101.379999997</v>
      </c>
      <c r="O114" s="224" t="s">
        <v>211</v>
      </c>
      <c r="P114" s="225" t="s">
        <v>211</v>
      </c>
      <c r="Q114" s="225" t="s">
        <v>211</v>
      </c>
      <c r="R114" s="563" t="s">
        <v>211</v>
      </c>
      <c r="S114" s="251" t="s">
        <v>211</v>
      </c>
      <c r="T114" s="251" t="s">
        <v>211</v>
      </c>
    </row>
    <row r="115" spans="1:20" ht="27" customHeight="1" x14ac:dyDescent="0.25">
      <c r="A115" s="221"/>
      <c r="B115" s="310" t="s">
        <v>157</v>
      </c>
      <c r="C115" s="904" t="s">
        <v>330</v>
      </c>
      <c r="D115" s="904"/>
      <c r="E115" s="904"/>
      <c r="F115" s="904"/>
      <c r="G115" s="904"/>
      <c r="H115" s="904"/>
      <c r="I115" s="904"/>
      <c r="J115" s="904"/>
      <c r="K115" s="905"/>
      <c r="L115" s="309" t="s">
        <v>211</v>
      </c>
      <c r="M115" s="226" t="s">
        <v>211</v>
      </c>
      <c r="N115" s="227">
        <f>N40+N41+N46+N51+N53+N59+N66+N68+N88+N89+N90+N91+N92+N93+N96+N97+N98+N99+N100</f>
        <v>104450496.82000002</v>
      </c>
      <c r="O115" s="228">
        <f>O113</f>
        <v>27763497.369999997</v>
      </c>
      <c r="P115" s="229" t="s">
        <v>211</v>
      </c>
      <c r="Q115" s="229" t="s">
        <v>211</v>
      </c>
      <c r="R115" s="564" t="s">
        <v>211</v>
      </c>
      <c r="S115" s="252" t="s">
        <v>211</v>
      </c>
      <c r="T115" s="252" t="s">
        <v>211</v>
      </c>
    </row>
    <row r="116" spans="1:20" x14ac:dyDescent="0.25">
      <c r="A116" s="66"/>
      <c r="B116" s="158"/>
      <c r="C116" s="71"/>
      <c r="D116" s="71"/>
      <c r="E116" s="68"/>
      <c r="F116" s="159"/>
      <c r="G116" s="159"/>
      <c r="H116" s="159"/>
      <c r="I116" s="159"/>
      <c r="J116" s="159"/>
      <c r="K116" s="159"/>
      <c r="L116" s="159"/>
      <c r="M116" s="159"/>
      <c r="N116" s="160"/>
      <c r="O116" s="71"/>
      <c r="P116" s="71"/>
      <c r="Q116" s="71"/>
    </row>
    <row r="117" spans="1:20" x14ac:dyDescent="0.25">
      <c r="A117" s="66"/>
      <c r="B117" s="161"/>
      <c r="C117" s="154"/>
      <c r="D117" s="154"/>
      <c r="E117" s="58"/>
      <c r="F117" s="162"/>
      <c r="G117" s="162"/>
      <c r="H117" s="162"/>
      <c r="I117" s="162"/>
      <c r="J117" s="162"/>
      <c r="K117" s="162"/>
      <c r="L117" s="162"/>
      <c r="M117" s="162"/>
      <c r="N117" s="160"/>
      <c r="O117" s="71"/>
      <c r="P117" s="71"/>
      <c r="Q117" s="71"/>
    </row>
    <row r="118" spans="1:20" x14ac:dyDescent="0.25">
      <c r="A118" s="66"/>
      <c r="B118" s="161"/>
      <c r="C118" s="154"/>
      <c r="D118" s="154"/>
      <c r="E118" s="58"/>
      <c r="F118" s="162"/>
      <c r="G118" s="162"/>
      <c r="H118" s="162"/>
      <c r="I118" s="162"/>
      <c r="J118" s="162"/>
      <c r="K118" s="162"/>
      <c r="L118" s="163"/>
      <c r="M118" s="163"/>
      <c r="N118" s="160"/>
      <c r="O118" s="71"/>
      <c r="P118" s="172"/>
      <c r="Q118" s="172"/>
    </row>
    <row r="119" spans="1:20" x14ac:dyDescent="0.25">
      <c r="A119" s="66"/>
      <c r="B119" s="161"/>
      <c r="C119" s="155"/>
      <c r="D119" s="155"/>
      <c r="E119" s="58"/>
      <c r="F119" s="162"/>
      <c r="G119" s="162"/>
      <c r="H119" s="162"/>
      <c r="I119" s="162"/>
      <c r="J119" s="162"/>
      <c r="K119" s="162"/>
      <c r="L119" s="162"/>
      <c r="M119" s="163"/>
      <c r="N119" s="160"/>
      <c r="O119" s="71"/>
      <c r="P119" s="71"/>
      <c r="Q119" s="71"/>
    </row>
    <row r="120" spans="1:20" x14ac:dyDescent="0.25">
      <c r="A120" s="17"/>
      <c r="B120" s="148"/>
      <c r="C120" s="154"/>
      <c r="D120" s="154"/>
      <c r="E120" s="148"/>
      <c r="F120" s="156"/>
      <c r="G120" s="156"/>
      <c r="H120" s="156"/>
      <c r="I120" s="156"/>
      <c r="J120" s="156"/>
      <c r="K120" s="156"/>
      <c r="L120" s="156"/>
      <c r="M120" s="156"/>
      <c r="N120" s="20"/>
      <c r="O120" s="21"/>
      <c r="P120" s="21"/>
      <c r="Q120" s="21"/>
    </row>
    <row r="121" spans="1:20" x14ac:dyDescent="0.25">
      <c r="A121" s="17"/>
      <c r="B121" s="150"/>
      <c r="C121" s="148"/>
      <c r="D121" s="148"/>
      <c r="E121" s="148"/>
      <c r="F121" s="156"/>
      <c r="G121" s="156"/>
      <c r="H121" s="156"/>
      <c r="I121" s="156"/>
      <c r="J121" s="156"/>
      <c r="K121" s="156"/>
      <c r="L121" s="156"/>
      <c r="M121" s="156"/>
      <c r="N121" s="20"/>
      <c r="O121" s="21"/>
      <c r="P121" s="21"/>
      <c r="Q121" s="21"/>
    </row>
    <row r="122" spans="1:20" x14ac:dyDescent="0.25">
      <c r="A122" s="22"/>
      <c r="B122" s="151"/>
      <c r="C122" s="58"/>
      <c r="D122" s="58"/>
      <c r="E122" s="149"/>
      <c r="F122" s="149"/>
      <c r="G122" s="149"/>
      <c r="H122" s="149"/>
      <c r="I122" s="149"/>
      <c r="J122" s="149"/>
      <c r="K122" s="149"/>
      <c r="L122" s="149"/>
      <c r="M122" s="149"/>
      <c r="O122" s="21"/>
      <c r="P122" s="21"/>
      <c r="Q122" s="21"/>
    </row>
    <row r="123" spans="1:20" x14ac:dyDescent="0.25">
      <c r="A123" s="22"/>
      <c r="B123" s="151"/>
      <c r="C123" s="58"/>
      <c r="D123" s="58"/>
      <c r="E123" s="149"/>
      <c r="F123" s="149"/>
      <c r="G123" s="149"/>
      <c r="H123" s="149"/>
      <c r="I123" s="149"/>
      <c r="J123" s="149"/>
      <c r="K123" s="149"/>
      <c r="L123" s="149"/>
      <c r="M123" s="149"/>
      <c r="N123" s="21"/>
      <c r="O123" s="21"/>
      <c r="P123" s="21"/>
      <c r="Q123" s="21"/>
    </row>
    <row r="124" spans="1:20" x14ac:dyDescent="0.25">
      <c r="A124" s="22"/>
      <c r="B124" s="24"/>
      <c r="C124" s="58"/>
      <c r="D124" s="58"/>
      <c r="E124" s="149"/>
      <c r="F124" s="149"/>
      <c r="G124" s="149"/>
      <c r="H124" s="149"/>
      <c r="I124" s="149"/>
      <c r="J124" s="149"/>
      <c r="K124" s="149"/>
      <c r="L124" s="149"/>
      <c r="M124" s="149"/>
      <c r="N124" s="21"/>
      <c r="O124" s="21"/>
      <c r="P124" s="21"/>
      <c r="Q124" s="21"/>
    </row>
    <row r="125" spans="1:20" x14ac:dyDescent="0.25">
      <c r="A125" s="22"/>
      <c r="B125" s="24"/>
      <c r="C125" s="58"/>
      <c r="D125" s="58"/>
      <c r="E125" s="149"/>
      <c r="F125" s="149"/>
      <c r="G125" s="149"/>
      <c r="H125" s="149"/>
      <c r="I125" s="149"/>
      <c r="J125" s="149"/>
      <c r="K125" s="149"/>
      <c r="L125" s="149"/>
      <c r="M125" s="21"/>
      <c r="N125" s="21"/>
      <c r="O125" s="21"/>
      <c r="P125" s="9"/>
      <c r="Q125" s="9"/>
      <c r="R125" s="9"/>
    </row>
    <row r="126" spans="1:20" ht="15" customHeight="1" x14ac:dyDescent="0.25">
      <c r="A126" s="22"/>
      <c r="B126" s="24"/>
      <c r="C126" s="58"/>
      <c r="D126" s="58"/>
      <c r="E126" s="149"/>
      <c r="F126" s="149"/>
      <c r="G126" s="149"/>
      <c r="H126" s="149"/>
      <c r="I126" s="149"/>
      <c r="J126" s="149"/>
      <c r="K126" s="149"/>
      <c r="L126" s="149"/>
      <c r="M126" s="21"/>
      <c r="N126" s="21"/>
      <c r="O126" s="21"/>
      <c r="P126" s="21"/>
      <c r="Q126" s="9"/>
      <c r="R126" s="9"/>
    </row>
    <row r="127" spans="1:20" ht="15.75" customHeight="1" x14ac:dyDescent="0.25">
      <c r="A127" s="22"/>
      <c r="B127" s="24"/>
      <c r="C127" s="149"/>
      <c r="D127" s="149"/>
      <c r="E127" s="149"/>
      <c r="F127" s="149"/>
      <c r="G127" s="149"/>
      <c r="H127" s="149"/>
      <c r="I127" s="149"/>
      <c r="J127" s="149"/>
      <c r="K127" s="149"/>
      <c r="L127" s="149"/>
      <c r="M127" s="21"/>
      <c r="N127" s="21"/>
      <c r="O127" s="21"/>
      <c r="P127" s="21"/>
      <c r="Q127" s="9"/>
      <c r="R127" s="9"/>
    </row>
    <row r="128" spans="1:20" x14ac:dyDescent="0.25">
      <c r="A128" s="22"/>
      <c r="B128" s="24"/>
      <c r="C128" s="149"/>
      <c r="D128" s="149"/>
      <c r="E128" s="149"/>
      <c r="F128" s="149"/>
      <c r="G128" s="149"/>
      <c r="H128" s="149"/>
      <c r="I128" s="149"/>
      <c r="J128" s="149"/>
      <c r="K128" s="149"/>
      <c r="L128" s="149"/>
      <c r="M128" s="149"/>
      <c r="N128" s="21"/>
      <c r="O128" s="21"/>
      <c r="P128" s="21"/>
      <c r="Q128" s="21"/>
      <c r="R128" s="9"/>
    </row>
    <row r="129" spans="1:18" x14ac:dyDescent="0.25">
      <c r="A129" s="17"/>
      <c r="B129" s="148"/>
      <c r="C129" s="148"/>
      <c r="D129" s="148"/>
      <c r="E129" s="148"/>
      <c r="F129" s="156"/>
      <c r="G129" s="156"/>
      <c r="H129" s="156"/>
      <c r="I129" s="156"/>
      <c r="J129" s="156"/>
      <c r="K129" s="156"/>
      <c r="L129" s="156"/>
      <c r="M129" s="156"/>
      <c r="N129" s="21"/>
      <c r="O129" s="21"/>
      <c r="P129" s="21"/>
      <c r="Q129" s="21"/>
    </row>
    <row r="130" spans="1:18" x14ac:dyDescent="0.25">
      <c r="A130" s="17"/>
      <c r="B130" s="148"/>
      <c r="C130" s="148"/>
      <c r="D130" s="148"/>
      <c r="E130" s="148"/>
      <c r="F130" s="156"/>
      <c r="G130" s="156"/>
      <c r="H130" s="156"/>
      <c r="I130" s="156"/>
      <c r="J130" s="156"/>
      <c r="K130" s="156"/>
      <c r="L130" s="156"/>
      <c r="M130" s="156"/>
      <c r="N130" s="21"/>
      <c r="O130" s="21"/>
      <c r="P130" s="155"/>
      <c r="Q130" s="155"/>
      <c r="R130" s="345"/>
    </row>
    <row r="131" spans="1:18" x14ac:dyDescent="0.25">
      <c r="A131" s="17"/>
      <c r="B131" s="148"/>
      <c r="C131" s="148"/>
      <c r="D131" s="148"/>
      <c r="E131" s="148"/>
      <c r="F131" s="156"/>
      <c r="G131" s="156"/>
      <c r="H131" s="156"/>
      <c r="I131" s="156"/>
      <c r="J131" s="156"/>
      <c r="K131" s="156"/>
      <c r="L131" s="156"/>
      <c r="M131" s="156"/>
      <c r="N131" s="21"/>
      <c r="O131" s="21"/>
      <c r="P131" s="155"/>
      <c r="Q131" s="155"/>
      <c r="R131" s="345"/>
    </row>
    <row r="132" spans="1:18" x14ac:dyDescent="0.25">
      <c r="A132" s="17"/>
      <c r="B132" s="148"/>
      <c r="C132" s="148"/>
      <c r="D132" s="148"/>
      <c r="E132" s="148"/>
      <c r="F132" s="156"/>
      <c r="G132" s="156"/>
      <c r="H132" s="156"/>
      <c r="I132" s="156"/>
      <c r="J132" s="156"/>
      <c r="K132" s="156"/>
      <c r="L132" s="156"/>
      <c r="M132" s="156"/>
      <c r="N132" s="21"/>
      <c r="O132" s="21"/>
      <c r="P132" s="155"/>
      <c r="Q132" s="155"/>
      <c r="R132" s="345"/>
    </row>
    <row r="133" spans="1:18" x14ac:dyDescent="0.25">
      <c r="A133" s="17"/>
      <c r="B133" s="148"/>
      <c r="C133" s="148"/>
      <c r="D133" s="148"/>
      <c r="E133" s="148"/>
      <c r="F133" s="156"/>
      <c r="G133" s="156"/>
      <c r="H133" s="156"/>
      <c r="I133" s="156"/>
      <c r="J133" s="156"/>
      <c r="K133" s="156"/>
      <c r="L133" s="156"/>
      <c r="M133" s="156"/>
      <c r="N133" s="21"/>
      <c r="O133" s="21"/>
      <c r="P133" s="21"/>
      <c r="Q133" s="21"/>
    </row>
    <row r="134" spans="1:18" x14ac:dyDescent="0.25">
      <c r="A134" s="17"/>
      <c r="B134" s="149"/>
      <c r="C134" s="149"/>
      <c r="D134" s="149"/>
      <c r="E134" s="149"/>
      <c r="F134" s="157"/>
      <c r="G134" s="157"/>
      <c r="H134" s="157"/>
      <c r="I134" s="157"/>
      <c r="J134" s="157"/>
      <c r="K134" s="157"/>
      <c r="L134" s="157"/>
      <c r="M134" s="157"/>
      <c r="N134" s="9"/>
      <c r="O134" s="9"/>
      <c r="P134" s="9"/>
      <c r="Q134" s="9"/>
    </row>
    <row r="135" spans="1:18" x14ac:dyDescent="0.25">
      <c r="A135" s="17"/>
      <c r="F135" s="23"/>
      <c r="G135" s="23"/>
      <c r="H135" s="23"/>
      <c r="I135" s="23"/>
      <c r="J135" s="23"/>
      <c r="K135" s="23"/>
      <c r="L135" s="23"/>
      <c r="M135" s="23"/>
      <c r="N135" s="9"/>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9"/>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F178" s="23"/>
      <c r="G178" s="23"/>
      <c r="H178" s="23"/>
      <c r="I178" s="23"/>
      <c r="J178" s="23"/>
      <c r="K178" s="23"/>
      <c r="L178" s="23"/>
      <c r="M178" s="23"/>
      <c r="N178" s="9"/>
      <c r="O178" s="9"/>
      <c r="P178" s="9"/>
      <c r="Q178" s="9"/>
    </row>
    <row r="179" spans="1:17" x14ac:dyDescent="0.25">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row>
    <row r="189" spans="1:17" x14ac:dyDescent="0.25">
      <c r="F189" s="23"/>
      <c r="G189" s="23"/>
      <c r="H189" s="23"/>
      <c r="I189" s="23"/>
      <c r="J189" s="23"/>
      <c r="K189" s="23"/>
      <c r="L189" s="23"/>
      <c r="M189" s="23"/>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sheetData>
  <mergeCells count="308">
    <mergeCell ref="R75:R76"/>
    <mergeCell ref="P75:P76"/>
    <mergeCell ref="O75:O76"/>
    <mergeCell ref="N75:N76"/>
    <mergeCell ref="M75:M76"/>
    <mergeCell ref="L75:L76"/>
    <mergeCell ref="J75:J76"/>
    <mergeCell ref="A71:A72"/>
    <mergeCell ref="B71:B72"/>
    <mergeCell ref="C71:C72"/>
    <mergeCell ref="D71:D72"/>
    <mergeCell ref="E71:E72"/>
    <mergeCell ref="F71:F72"/>
    <mergeCell ref="G71:G72"/>
    <mergeCell ref="H71:H72"/>
    <mergeCell ref="I71:I72"/>
    <mergeCell ref="A75:A78"/>
    <mergeCell ref="C75:C78"/>
    <mergeCell ref="E75:E78"/>
    <mergeCell ref="F75:F78"/>
    <mergeCell ref="B75:B78"/>
    <mergeCell ref="H110:H112"/>
    <mergeCell ref="Q98:Q99"/>
    <mergeCell ref="Q75:Q77"/>
    <mergeCell ref="I81:I82"/>
    <mergeCell ref="I98:I101"/>
    <mergeCell ref="I85:I86"/>
    <mergeCell ref="H88:H95"/>
    <mergeCell ref="H96:H97"/>
    <mergeCell ref="H98:H101"/>
    <mergeCell ref="H75:H78"/>
    <mergeCell ref="H81:H82"/>
    <mergeCell ref="H83:H84"/>
    <mergeCell ref="H85:H86"/>
    <mergeCell ref="J98:J99"/>
    <mergeCell ref="G83:G84"/>
    <mergeCell ref="I55:I62"/>
    <mergeCell ref="H24:H33"/>
    <mergeCell ref="H34:H39"/>
    <mergeCell ref="H42:H46"/>
    <mergeCell ref="K83:K84"/>
    <mergeCell ref="R68:R69"/>
    <mergeCell ref="P68:P69"/>
    <mergeCell ref="O68:O69"/>
    <mergeCell ref="N68:N69"/>
    <mergeCell ref="M68:M69"/>
    <mergeCell ref="L68:L69"/>
    <mergeCell ref="K68:K69"/>
    <mergeCell ref="J68:J69"/>
    <mergeCell ref="K32:K33"/>
    <mergeCell ref="K37:K39"/>
    <mergeCell ref="K58:K60"/>
    <mergeCell ref="L58:L60"/>
    <mergeCell ref="P58:P60"/>
    <mergeCell ref="Q47:Q50"/>
    <mergeCell ref="R66:R67"/>
    <mergeCell ref="J42:J44"/>
    <mergeCell ref="P66:P67"/>
    <mergeCell ref="O66:O67"/>
    <mergeCell ref="E24:E33"/>
    <mergeCell ref="F24:F33"/>
    <mergeCell ref="G24:G33"/>
    <mergeCell ref="I24:I33"/>
    <mergeCell ref="E34:E39"/>
    <mergeCell ref="F34:F39"/>
    <mergeCell ref="G34:G39"/>
    <mergeCell ref="I34:I39"/>
    <mergeCell ref="K30:K31"/>
    <mergeCell ref="K35:K36"/>
    <mergeCell ref="K22:K23"/>
    <mergeCell ref="H47:H50"/>
    <mergeCell ref="Q15:Q22"/>
    <mergeCell ref="E15:E23"/>
    <mergeCell ref="F15:F23"/>
    <mergeCell ref="P17:P18"/>
    <mergeCell ref="H5:H9"/>
    <mergeCell ref="H10:H14"/>
    <mergeCell ref="H15:H23"/>
    <mergeCell ref="E5:E9"/>
    <mergeCell ref="F5:F9"/>
    <mergeCell ref="G5:G9"/>
    <mergeCell ref="K13:K14"/>
    <mergeCell ref="K19:K20"/>
    <mergeCell ref="J17:J18"/>
    <mergeCell ref="K15:K16"/>
    <mergeCell ref="K17:K18"/>
    <mergeCell ref="I42:I46"/>
    <mergeCell ref="L37:L38"/>
    <mergeCell ref="Q42:Q46"/>
    <mergeCell ref="K47:K48"/>
    <mergeCell ref="J5:J7"/>
    <mergeCell ref="M6:M7"/>
    <mergeCell ref="O6:O7"/>
    <mergeCell ref="I5:I9"/>
    <mergeCell ref="G15:G23"/>
    <mergeCell ref="I15:I23"/>
    <mergeCell ref="C24:C33"/>
    <mergeCell ref="C34:C39"/>
    <mergeCell ref="G66:G70"/>
    <mergeCell ref="C55:C62"/>
    <mergeCell ref="A63:A64"/>
    <mergeCell ref="I63:I64"/>
    <mergeCell ref="A5:A9"/>
    <mergeCell ref="B5:B9"/>
    <mergeCell ref="C5:C9"/>
    <mergeCell ref="A47:A50"/>
    <mergeCell ref="B47:B50"/>
    <mergeCell ref="C47:C50"/>
    <mergeCell ref="E47:E50"/>
    <mergeCell ref="F47:F50"/>
    <mergeCell ref="G47:G50"/>
    <mergeCell ref="F42:F46"/>
    <mergeCell ref="E66:E70"/>
    <mergeCell ref="F66:F70"/>
    <mergeCell ref="G42:G46"/>
    <mergeCell ref="A66:A70"/>
    <mergeCell ref="B66:B70"/>
    <mergeCell ref="E88:E95"/>
    <mergeCell ref="F88:F95"/>
    <mergeCell ref="G88:G95"/>
    <mergeCell ref="I88:I95"/>
    <mergeCell ref="J88:J92"/>
    <mergeCell ref="Q51:Q52"/>
    <mergeCell ref="Q53:Q54"/>
    <mergeCell ref="Q88:Q93"/>
    <mergeCell ref="G85:G86"/>
    <mergeCell ref="Q63:Q64"/>
    <mergeCell ref="K75:K77"/>
    <mergeCell ref="G75:G78"/>
    <mergeCell ref="I75:I78"/>
    <mergeCell ref="I83:I84"/>
    <mergeCell ref="Q66:Q70"/>
    <mergeCell ref="I66:I70"/>
    <mergeCell ref="H51:H52"/>
    <mergeCell ref="H53:H54"/>
    <mergeCell ref="H55:H62"/>
    <mergeCell ref="H63:H64"/>
    <mergeCell ref="H66:H70"/>
    <mergeCell ref="K66:K67"/>
    <mergeCell ref="J66:J67"/>
    <mergeCell ref="K56:K57"/>
    <mergeCell ref="F83:F84"/>
    <mergeCell ref="C83:C84"/>
    <mergeCell ref="B83:B84"/>
    <mergeCell ref="E83:E84"/>
    <mergeCell ref="B81:B82"/>
    <mergeCell ref="E81:E82"/>
    <mergeCell ref="C81:C82"/>
    <mergeCell ref="D75:D78"/>
    <mergeCell ref="D81:D82"/>
    <mergeCell ref="D83:D84"/>
    <mergeCell ref="G110:G112"/>
    <mergeCell ref="I110:I112"/>
    <mergeCell ref="A85:A86"/>
    <mergeCell ref="A81:A82"/>
    <mergeCell ref="A83:A84"/>
    <mergeCell ref="F81:F82"/>
    <mergeCell ref="F85:F86"/>
    <mergeCell ref="B85:B86"/>
    <mergeCell ref="C85:C86"/>
    <mergeCell ref="E85:E86"/>
    <mergeCell ref="A88:A95"/>
    <mergeCell ref="B88:B95"/>
    <mergeCell ref="A98:A101"/>
    <mergeCell ref="B98:B101"/>
    <mergeCell ref="C98:C101"/>
    <mergeCell ref="E98:E101"/>
    <mergeCell ref="F98:F101"/>
    <mergeCell ref="G98:G101"/>
    <mergeCell ref="C88:C95"/>
    <mergeCell ref="E96:E97"/>
    <mergeCell ref="F96:F97"/>
    <mergeCell ref="G96:G97"/>
    <mergeCell ref="I96:I97"/>
    <mergeCell ref="G81:G82"/>
    <mergeCell ref="B96:B97"/>
    <mergeCell ref="A96:A97"/>
    <mergeCell ref="C96:C97"/>
    <mergeCell ref="C115:K115"/>
    <mergeCell ref="Q24:Q32"/>
    <mergeCell ref="Q81:Q82"/>
    <mergeCell ref="Q83:Q84"/>
    <mergeCell ref="K81:K82"/>
    <mergeCell ref="K24:K25"/>
    <mergeCell ref="K26:K27"/>
    <mergeCell ref="K28:K29"/>
    <mergeCell ref="C63:C64"/>
    <mergeCell ref="E63:E64"/>
    <mergeCell ref="F63:F64"/>
    <mergeCell ref="G63:G64"/>
    <mergeCell ref="A113:F113"/>
    <mergeCell ref="A51:A52"/>
    <mergeCell ref="B51:B52"/>
    <mergeCell ref="B42:B46"/>
    <mergeCell ref="C42:C46"/>
    <mergeCell ref="E42:E46"/>
    <mergeCell ref="A110:A112"/>
    <mergeCell ref="C114:F114"/>
    <mergeCell ref="B110:B112"/>
    <mergeCell ref="C110:C112"/>
    <mergeCell ref="E110:E112"/>
    <mergeCell ref="F110:F112"/>
    <mergeCell ref="B2:B3"/>
    <mergeCell ref="C2:C3"/>
    <mergeCell ref="I2:I3"/>
    <mergeCell ref="G2:G3"/>
    <mergeCell ref="A2:A3"/>
    <mergeCell ref="F2:F3"/>
    <mergeCell ref="E2:E3"/>
    <mergeCell ref="A55:A62"/>
    <mergeCell ref="B55:B62"/>
    <mergeCell ref="A42:A46"/>
    <mergeCell ref="A15:A23"/>
    <mergeCell ref="B15:B23"/>
    <mergeCell ref="C15:C23"/>
    <mergeCell ref="A24:A33"/>
    <mergeCell ref="B24:B33"/>
    <mergeCell ref="A10:A14"/>
    <mergeCell ref="B10:B14"/>
    <mergeCell ref="C10:C14"/>
    <mergeCell ref="E10:E14"/>
    <mergeCell ref="F10:F14"/>
    <mergeCell ref="G10:G14"/>
    <mergeCell ref="Q2:Q3"/>
    <mergeCell ref="P2:P3"/>
    <mergeCell ref="M2:O2"/>
    <mergeCell ref="L2:L3"/>
    <mergeCell ref="K2:K3"/>
    <mergeCell ref="J2:J3"/>
    <mergeCell ref="H2:H3"/>
    <mergeCell ref="S2:T2"/>
    <mergeCell ref="R2:R3"/>
    <mergeCell ref="R5:R9"/>
    <mergeCell ref="N6:N7"/>
    <mergeCell ref="N8:N9"/>
    <mergeCell ref="R17:R18"/>
    <mergeCell ref="O17:O18"/>
    <mergeCell ref="K10:K12"/>
    <mergeCell ref="R47:R48"/>
    <mergeCell ref="I51:I52"/>
    <mergeCell ref="I53:I54"/>
    <mergeCell ref="J37:J38"/>
    <mergeCell ref="Q10:Q14"/>
    <mergeCell ref="I10:I14"/>
    <mergeCell ref="R37:R38"/>
    <mergeCell ref="P37:P38"/>
    <mergeCell ref="Q34:Q38"/>
    <mergeCell ref="P6:P7"/>
    <mergeCell ref="O8:O9"/>
    <mergeCell ref="P8:P9"/>
    <mergeCell ref="Q5:Q9"/>
    <mergeCell ref="L8:L9"/>
    <mergeCell ref="M8:M9"/>
    <mergeCell ref="L6:L7"/>
    <mergeCell ref="J8:J9"/>
    <mergeCell ref="K5:K9"/>
    <mergeCell ref="N66:N67"/>
    <mergeCell ref="M66:M67"/>
    <mergeCell ref="L66:L67"/>
    <mergeCell ref="C66:C70"/>
    <mergeCell ref="B63:B64"/>
    <mergeCell ref="F51:F52"/>
    <mergeCell ref="G51:G52"/>
    <mergeCell ref="G53:G54"/>
    <mergeCell ref="F53:F54"/>
    <mergeCell ref="E53:E54"/>
    <mergeCell ref="C53:C54"/>
    <mergeCell ref="C51:C52"/>
    <mergeCell ref="G55:G62"/>
    <mergeCell ref="E51:E52"/>
    <mergeCell ref="D66:D70"/>
    <mergeCell ref="I47:I50"/>
    <mergeCell ref="J58:J60"/>
    <mergeCell ref="R63:R64"/>
    <mergeCell ref="K51:K52"/>
    <mergeCell ref="K53:K54"/>
    <mergeCell ref="A34:A39"/>
    <mergeCell ref="B34:B39"/>
    <mergeCell ref="B53:B54"/>
    <mergeCell ref="A53:A54"/>
    <mergeCell ref="F55:F62"/>
    <mergeCell ref="E55:E62"/>
    <mergeCell ref="K63:K64"/>
    <mergeCell ref="Q55:Q62"/>
    <mergeCell ref="L42:L44"/>
    <mergeCell ref="M42:M44"/>
    <mergeCell ref="N42:N44"/>
    <mergeCell ref="O42:O44"/>
    <mergeCell ref="P42:P44"/>
    <mergeCell ref="D53:D54"/>
    <mergeCell ref="D55:D62"/>
    <mergeCell ref="D63:D64"/>
    <mergeCell ref="K42:K45"/>
    <mergeCell ref="R42:R45"/>
    <mergeCell ref="D85:D86"/>
    <mergeCell ref="D88:D95"/>
    <mergeCell ref="D96:D97"/>
    <mergeCell ref="D98:D101"/>
    <mergeCell ref="D110:D112"/>
    <mergeCell ref="D2:D3"/>
    <mergeCell ref="D5:D9"/>
    <mergeCell ref="D10:D14"/>
    <mergeCell ref="D15:D23"/>
    <mergeCell ref="D24:D33"/>
    <mergeCell ref="D34:D39"/>
    <mergeCell ref="D42:D46"/>
    <mergeCell ref="D47:D50"/>
    <mergeCell ref="D51:D52"/>
  </mergeCells>
  <pageMargins left="0.23622047244094491" right="0.23622047244094491" top="0.35433070866141736" bottom="0.55118110236220474" header="0.31496062992125984" footer="0.31496062992125984"/>
  <pageSetup paperSize="8" scale="56" fitToHeight="0" orientation="landscape" r:id="rId1"/>
  <headerFooter>
    <oddFooter xml:space="preserve">&amp;R&amp;12Zpracoval odbor finanční, stav k 2. 5. 2017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32"/>
  <sheetViews>
    <sheetView topLeftCell="A47" zoomScale="70" zoomScaleNormal="70" zoomScalePageLayoutView="55" workbookViewId="0">
      <selection activeCell="K77" sqref="K77"/>
    </sheetView>
  </sheetViews>
  <sheetFormatPr defaultRowHeight="15" x14ac:dyDescent="0.25"/>
  <cols>
    <col min="1" max="1" width="4.7109375" customWidth="1"/>
    <col min="2" max="2" width="14.140625" customWidth="1"/>
    <col min="3" max="3" width="23.42578125" style="234" customWidth="1"/>
    <col min="4" max="4" width="17.28515625" style="234" customWidth="1"/>
    <col min="5" max="5" width="11.7109375" style="234" customWidth="1"/>
    <col min="6" max="6" width="8.7109375" style="234" customWidth="1"/>
    <col min="7" max="7" width="16.28515625" style="536" customWidth="1"/>
    <col min="8" max="8" width="13.85546875" style="644" customWidth="1"/>
    <col min="9" max="9" width="13.42578125" customWidth="1"/>
    <col min="10" max="10" width="15.140625" customWidth="1"/>
    <col min="11" max="11" width="40.7109375" customWidth="1"/>
    <col min="12" max="13" width="15" customWidth="1"/>
    <col min="14" max="14" width="16.7109375" customWidth="1"/>
    <col min="15" max="15" width="13.7109375" customWidth="1"/>
    <col min="16" max="16" width="11.42578125" customWidth="1"/>
    <col min="17" max="17" width="12.7109375" customWidth="1"/>
    <col min="18" max="18" width="62.7109375" customWidth="1"/>
    <col min="19" max="19" width="0" hidden="1" customWidth="1"/>
    <col min="20" max="20" width="15.5703125" hidden="1" customWidth="1"/>
  </cols>
  <sheetData>
    <row r="1" spans="1:89" ht="29.25" thickBot="1" x14ac:dyDescent="0.5">
      <c r="B1" s="165" t="s">
        <v>691</v>
      </c>
      <c r="C1" s="528"/>
      <c r="D1" s="528"/>
      <c r="E1" s="528"/>
      <c r="F1" s="528"/>
      <c r="G1" s="533"/>
      <c r="H1" s="574"/>
      <c r="I1" s="165"/>
      <c r="J1" s="165"/>
      <c r="K1" s="165"/>
      <c r="L1" s="165"/>
      <c r="M1" s="165"/>
      <c r="N1" s="165"/>
      <c r="O1" s="165"/>
      <c r="P1" s="165"/>
      <c r="Q1" s="165"/>
      <c r="R1" s="235" t="s">
        <v>294</v>
      </c>
    </row>
    <row r="2" spans="1:89" ht="32.25" customHeight="1" x14ac:dyDescent="0.25">
      <c r="A2" s="1118" t="s">
        <v>328</v>
      </c>
      <c r="B2" s="1011" t="s">
        <v>145</v>
      </c>
      <c r="C2" s="1011" t="s">
        <v>135</v>
      </c>
      <c r="D2" s="1011" t="s">
        <v>657</v>
      </c>
      <c r="E2" s="1011" t="s">
        <v>136</v>
      </c>
      <c r="F2" s="1134" t="s">
        <v>141</v>
      </c>
      <c r="G2" s="1022" t="s">
        <v>208</v>
      </c>
      <c r="H2" s="1019" t="s">
        <v>505</v>
      </c>
      <c r="I2" s="1011" t="s">
        <v>359</v>
      </c>
      <c r="J2" s="1011" t="s">
        <v>137</v>
      </c>
      <c r="K2" s="1078" t="s">
        <v>209</v>
      </c>
      <c r="L2" s="1011" t="s">
        <v>311</v>
      </c>
      <c r="M2" s="1080" t="s">
        <v>309</v>
      </c>
      <c r="N2" s="1080"/>
      <c r="O2" s="1080"/>
      <c r="P2" s="1011" t="s">
        <v>310</v>
      </c>
      <c r="Q2" s="1078" t="s">
        <v>270</v>
      </c>
      <c r="R2" s="1067" t="s">
        <v>210</v>
      </c>
      <c r="S2" s="1069" t="s">
        <v>398</v>
      </c>
      <c r="T2" s="1070"/>
    </row>
    <row r="3" spans="1:89" ht="164.25" customHeight="1" x14ac:dyDescent="0.25">
      <c r="A3" s="1119"/>
      <c r="B3" s="1015"/>
      <c r="C3" s="1015"/>
      <c r="D3" s="789"/>
      <c r="E3" s="1015"/>
      <c r="F3" s="1135"/>
      <c r="G3" s="1023"/>
      <c r="H3" s="1020"/>
      <c r="I3" s="1015"/>
      <c r="J3" s="1015"/>
      <c r="K3" s="1079"/>
      <c r="L3" s="1015"/>
      <c r="M3" s="649" t="s">
        <v>212</v>
      </c>
      <c r="N3" s="650" t="s">
        <v>213</v>
      </c>
      <c r="O3" s="240" t="s">
        <v>277</v>
      </c>
      <c r="P3" s="1015"/>
      <c r="Q3" s="1079"/>
      <c r="R3" s="1068"/>
      <c r="S3" s="244" t="s">
        <v>399</v>
      </c>
      <c r="T3" s="377" t="s">
        <v>195</v>
      </c>
    </row>
    <row r="4" spans="1:89" ht="48.75" customHeight="1" thickBot="1" x14ac:dyDescent="0.3">
      <c r="A4" s="379" t="s">
        <v>260</v>
      </c>
      <c r="B4" s="241" t="s">
        <v>261</v>
      </c>
      <c r="C4" s="241" t="s">
        <v>262</v>
      </c>
      <c r="D4" s="241" t="s">
        <v>263</v>
      </c>
      <c r="E4" s="241" t="s">
        <v>264</v>
      </c>
      <c r="F4" s="241" t="s">
        <v>265</v>
      </c>
      <c r="G4" s="241" t="s">
        <v>266</v>
      </c>
      <c r="H4" s="575" t="s">
        <v>267</v>
      </c>
      <c r="I4" s="241" t="s">
        <v>268</v>
      </c>
      <c r="J4" s="242" t="s">
        <v>269</v>
      </c>
      <c r="K4" s="242" t="s">
        <v>506</v>
      </c>
      <c r="L4" s="241" t="s">
        <v>658</v>
      </c>
      <c r="M4" s="241" t="s">
        <v>659</v>
      </c>
      <c r="N4" s="243" t="s">
        <v>507</v>
      </c>
      <c r="O4" s="241" t="s">
        <v>660</v>
      </c>
      <c r="P4" s="648" t="s">
        <v>661</v>
      </c>
      <c r="Q4" s="241" t="s">
        <v>662</v>
      </c>
      <c r="R4" s="647" t="s">
        <v>663</v>
      </c>
      <c r="S4" s="243" t="s">
        <v>400</v>
      </c>
      <c r="T4" s="241" t="s">
        <v>401</v>
      </c>
    </row>
    <row r="5" spans="1:89" ht="101.25" customHeight="1" x14ac:dyDescent="0.25">
      <c r="A5" s="1126">
        <v>1</v>
      </c>
      <c r="B5" s="1121" t="s">
        <v>63</v>
      </c>
      <c r="C5" s="1124" t="s">
        <v>326</v>
      </c>
      <c r="D5" s="795" t="s">
        <v>665</v>
      </c>
      <c r="E5" s="1016" t="s">
        <v>73</v>
      </c>
      <c r="F5" s="1137" t="s">
        <v>8</v>
      </c>
      <c r="G5" s="1125">
        <v>362375172.18000001</v>
      </c>
      <c r="H5" s="1133" t="s">
        <v>63</v>
      </c>
      <c r="I5" s="1071" t="s">
        <v>284</v>
      </c>
      <c r="J5" s="576" t="s">
        <v>139</v>
      </c>
      <c r="K5" s="577" t="s">
        <v>281</v>
      </c>
      <c r="L5" s="578">
        <v>101386743</v>
      </c>
      <c r="M5" s="578">
        <f>N5+O5</f>
        <v>16225264</v>
      </c>
      <c r="N5" s="485">
        <v>16225264</v>
      </c>
      <c r="O5" s="579"/>
      <c r="P5" s="580">
        <f>M5/L5</f>
        <v>0.1600333881915903</v>
      </c>
      <c r="Q5" s="1072">
        <f>(M5+M6+M7)/G5</f>
        <v>4.4774767273351009E-2</v>
      </c>
      <c r="R5" s="655" t="s">
        <v>529</v>
      </c>
      <c r="S5" s="651">
        <f>T5/L5</f>
        <v>0.8399666118084097</v>
      </c>
      <c r="T5" s="10">
        <f>L5-M5</f>
        <v>85161479</v>
      </c>
    </row>
    <row r="6" spans="1:89" ht="308.25" customHeight="1" x14ac:dyDescent="0.25">
      <c r="A6" s="1114"/>
      <c r="B6" s="1122"/>
      <c r="C6" s="1084"/>
      <c r="D6" s="790"/>
      <c r="E6" s="1017"/>
      <c r="F6" s="1028"/>
      <c r="G6" s="1025"/>
      <c r="H6" s="1106"/>
      <c r="I6" s="1062"/>
      <c r="J6" s="568" t="s">
        <v>30</v>
      </c>
      <c r="K6" s="213" t="s">
        <v>290</v>
      </c>
      <c r="L6" s="581">
        <v>1000000</v>
      </c>
      <c r="M6" s="578">
        <f>N6+O6</f>
        <v>0</v>
      </c>
      <c r="N6" s="486">
        <v>0</v>
      </c>
      <c r="O6" s="582">
        <v>0</v>
      </c>
      <c r="P6" s="583">
        <f t="shared" ref="P6:P65" si="0">M6/L6</f>
        <v>0</v>
      </c>
      <c r="Q6" s="1037"/>
      <c r="R6" s="742" t="s">
        <v>702</v>
      </c>
      <c r="S6" s="652">
        <f t="shared" ref="S6:S57" si="1">T6/L6</f>
        <v>1</v>
      </c>
      <c r="T6" s="5">
        <f t="shared" ref="T6:T57" si="2">L6-M6</f>
        <v>1000000</v>
      </c>
    </row>
    <row r="7" spans="1:89" ht="83.25" customHeight="1" x14ac:dyDescent="0.25">
      <c r="A7" s="1115"/>
      <c r="B7" s="1123"/>
      <c r="C7" s="1085"/>
      <c r="D7" s="789"/>
      <c r="E7" s="1018"/>
      <c r="F7" s="1029"/>
      <c r="G7" s="1026"/>
      <c r="H7" s="1088"/>
      <c r="I7" s="1061"/>
      <c r="J7" s="584" t="s">
        <v>30</v>
      </c>
      <c r="K7" s="585" t="s">
        <v>290</v>
      </c>
      <c r="L7" s="586">
        <v>600000</v>
      </c>
      <c r="M7" s="578">
        <v>0</v>
      </c>
      <c r="N7" s="487">
        <v>0</v>
      </c>
      <c r="O7" s="582">
        <v>0</v>
      </c>
      <c r="P7" s="583">
        <f t="shared" si="0"/>
        <v>0</v>
      </c>
      <c r="Q7" s="1032"/>
      <c r="R7" s="655" t="s">
        <v>530</v>
      </c>
      <c r="S7" s="652">
        <f t="shared" si="1"/>
        <v>1</v>
      </c>
      <c r="T7" s="5">
        <f t="shared" si="2"/>
        <v>600000</v>
      </c>
    </row>
    <row r="8" spans="1:89" ht="97.5" customHeight="1" x14ac:dyDescent="0.25">
      <c r="A8" s="656">
        <v>2</v>
      </c>
      <c r="B8" s="587" t="s">
        <v>63</v>
      </c>
      <c r="C8" s="584" t="s">
        <v>287</v>
      </c>
      <c r="D8" s="722" t="s">
        <v>665</v>
      </c>
      <c r="E8" s="588" t="s">
        <v>74</v>
      </c>
      <c r="F8" s="589" t="s">
        <v>8</v>
      </c>
      <c r="G8" s="590">
        <v>462724796.58999997</v>
      </c>
      <c r="H8" s="591" t="s">
        <v>63</v>
      </c>
      <c r="I8" s="569" t="s">
        <v>285</v>
      </c>
      <c r="J8" s="585" t="s">
        <v>139</v>
      </c>
      <c r="K8" s="585" t="s">
        <v>282</v>
      </c>
      <c r="L8" s="581">
        <v>13225052</v>
      </c>
      <c r="M8" s="578">
        <f>N8+O8</f>
        <v>3306264</v>
      </c>
      <c r="N8" s="488">
        <v>3306264</v>
      </c>
      <c r="O8" s="592"/>
      <c r="P8" s="583">
        <f t="shared" si="0"/>
        <v>0.25000007561406939</v>
      </c>
      <c r="Q8" s="593">
        <f>M8/G8</f>
        <v>7.1452060152495667E-3</v>
      </c>
      <c r="R8" s="655" t="s">
        <v>529</v>
      </c>
      <c r="S8" s="652">
        <f t="shared" si="1"/>
        <v>0.74999992438593055</v>
      </c>
      <c r="T8" s="5">
        <f t="shared" si="2"/>
        <v>9918788</v>
      </c>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row>
    <row r="9" spans="1:89" ht="126" customHeight="1" x14ac:dyDescent="0.25">
      <c r="A9" s="1127">
        <v>3</v>
      </c>
      <c r="B9" s="1048" t="s">
        <v>64</v>
      </c>
      <c r="C9" s="1083" t="s">
        <v>286</v>
      </c>
      <c r="D9" s="788" t="s">
        <v>666</v>
      </c>
      <c r="E9" s="1109" t="s">
        <v>75</v>
      </c>
      <c r="F9" s="1027" t="s">
        <v>8</v>
      </c>
      <c r="G9" s="1024">
        <v>400418989.25999999</v>
      </c>
      <c r="H9" s="1087" t="s">
        <v>531</v>
      </c>
      <c r="I9" s="1073" t="s">
        <v>331</v>
      </c>
      <c r="J9" s="1048" t="s">
        <v>139</v>
      </c>
      <c r="K9" s="1058" t="s">
        <v>317</v>
      </c>
      <c r="L9" s="1076">
        <v>178471075</v>
      </c>
      <c r="M9" s="1076">
        <f>N9</f>
        <v>11053466</v>
      </c>
      <c r="N9" s="489">
        <f>11457379-24513-379400</f>
        <v>11053466</v>
      </c>
      <c r="O9" s="1081"/>
      <c r="P9" s="1031">
        <f>M9/L9</f>
        <v>6.1934215390365074E-2</v>
      </c>
      <c r="Q9" s="1031">
        <f>(M9+M11+M12)/G9</f>
        <v>0.15608232545489645</v>
      </c>
      <c r="R9" s="1064" t="s">
        <v>711</v>
      </c>
      <c r="S9" s="652"/>
      <c r="T9" s="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row>
    <row r="10" spans="1:89" s="152" customFormat="1" ht="336.75" customHeight="1" x14ac:dyDescent="0.25">
      <c r="A10" s="1136"/>
      <c r="B10" s="1063"/>
      <c r="C10" s="1084"/>
      <c r="D10" s="790"/>
      <c r="E10" s="1017"/>
      <c r="F10" s="1028"/>
      <c r="G10" s="1025"/>
      <c r="H10" s="1106"/>
      <c r="I10" s="1074"/>
      <c r="J10" s="1049"/>
      <c r="K10" s="1059"/>
      <c r="L10" s="1077"/>
      <c r="M10" s="1077"/>
      <c r="N10" s="490" t="s">
        <v>483</v>
      </c>
      <c r="O10" s="1082"/>
      <c r="P10" s="1032"/>
      <c r="Q10" s="1037"/>
      <c r="R10" s="1057"/>
      <c r="S10" s="652">
        <f>T10/L9</f>
        <v>0.93806578460963497</v>
      </c>
      <c r="T10" s="5">
        <f>L9-M9</f>
        <v>167417609</v>
      </c>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row>
    <row r="11" spans="1:89" s="136" customFormat="1" ht="324.75" customHeight="1" x14ac:dyDescent="0.25">
      <c r="A11" s="1136"/>
      <c r="B11" s="1063"/>
      <c r="C11" s="1084"/>
      <c r="D11" s="790"/>
      <c r="E11" s="1017"/>
      <c r="F11" s="1028"/>
      <c r="G11" s="1025"/>
      <c r="H11" s="1106"/>
      <c r="I11" s="1074"/>
      <c r="J11" s="585" t="s">
        <v>142</v>
      </c>
      <c r="K11" s="1060"/>
      <c r="L11" s="341">
        <v>40518449.969999999</v>
      </c>
      <c r="M11" s="578">
        <f t="shared" ref="M11:M29" si="3">N11+O11</f>
        <v>40518449.969999999</v>
      </c>
      <c r="N11" s="489">
        <v>40518449.969999999</v>
      </c>
      <c r="O11" s="491"/>
      <c r="P11" s="583">
        <f t="shared" si="0"/>
        <v>1</v>
      </c>
      <c r="Q11" s="1037"/>
      <c r="R11" s="655" t="s">
        <v>532</v>
      </c>
      <c r="S11" s="652">
        <f t="shared" si="1"/>
        <v>0</v>
      </c>
      <c r="T11" s="5">
        <f t="shared" si="2"/>
        <v>0</v>
      </c>
    </row>
    <row r="12" spans="1:89" s="136" customFormat="1" ht="360.75" customHeight="1" x14ac:dyDescent="0.25">
      <c r="A12" s="1136"/>
      <c r="B12" s="1063"/>
      <c r="C12" s="1084"/>
      <c r="D12" s="790"/>
      <c r="E12" s="1017"/>
      <c r="F12" s="1028"/>
      <c r="G12" s="1025"/>
      <c r="H12" s="1106"/>
      <c r="I12" s="1074"/>
      <c r="J12" s="585" t="s">
        <v>397</v>
      </c>
      <c r="K12" s="594" t="s">
        <v>396</v>
      </c>
      <c r="L12" s="341">
        <v>10926411.029999999</v>
      </c>
      <c r="M12" s="595">
        <f t="shared" si="3"/>
        <v>10926411.029999999</v>
      </c>
      <c r="N12" s="393">
        <v>10926411.029999999</v>
      </c>
      <c r="O12" s="596">
        <f>10926411.03-N12</f>
        <v>0</v>
      </c>
      <c r="P12" s="583">
        <f t="shared" si="0"/>
        <v>1</v>
      </c>
      <c r="Q12" s="1037"/>
      <c r="R12" s="743" t="s">
        <v>704</v>
      </c>
      <c r="S12" s="652">
        <f t="shared" si="1"/>
        <v>0</v>
      </c>
      <c r="T12" s="5">
        <f t="shared" si="2"/>
        <v>0</v>
      </c>
    </row>
    <row r="13" spans="1:89" s="153" customFormat="1" ht="137.25" customHeight="1" x14ac:dyDescent="0.25">
      <c r="A13" s="1128"/>
      <c r="B13" s="1049"/>
      <c r="C13" s="1085"/>
      <c r="D13" s="789"/>
      <c r="E13" s="1018"/>
      <c r="F13" s="1029"/>
      <c r="G13" s="1026"/>
      <c r="H13" s="1088"/>
      <c r="I13" s="1075"/>
      <c r="J13" s="585" t="s">
        <v>30</v>
      </c>
      <c r="K13" s="585" t="s">
        <v>318</v>
      </c>
      <c r="L13" s="341">
        <v>150000</v>
      </c>
      <c r="M13" s="578">
        <f t="shared" si="3"/>
        <v>150000</v>
      </c>
      <c r="N13" s="489">
        <v>150000</v>
      </c>
      <c r="O13" s="597"/>
      <c r="P13" s="583">
        <f t="shared" si="0"/>
        <v>1</v>
      </c>
      <c r="Q13" s="1032"/>
      <c r="R13" s="743" t="s">
        <v>703</v>
      </c>
      <c r="S13" s="652">
        <f t="shared" si="1"/>
        <v>0</v>
      </c>
      <c r="T13" s="5">
        <f t="shared" si="2"/>
        <v>0</v>
      </c>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row>
    <row r="14" spans="1:89" ht="308.25" customHeight="1" x14ac:dyDescent="0.25">
      <c r="A14" s="1127">
        <v>4</v>
      </c>
      <c r="B14" s="1083" t="s">
        <v>65</v>
      </c>
      <c r="C14" s="1083" t="s">
        <v>169</v>
      </c>
      <c r="D14" s="788" t="s">
        <v>666</v>
      </c>
      <c r="E14" s="1109" t="s">
        <v>76</v>
      </c>
      <c r="F14" s="1027" t="s">
        <v>8</v>
      </c>
      <c r="G14" s="1024">
        <v>433013258.18000001</v>
      </c>
      <c r="H14" s="1087" t="s">
        <v>531</v>
      </c>
      <c r="I14" s="987" t="s">
        <v>392</v>
      </c>
      <c r="J14" s="585" t="s">
        <v>139</v>
      </c>
      <c r="K14" s="585" t="s">
        <v>319</v>
      </c>
      <c r="L14" s="341">
        <v>354887803</v>
      </c>
      <c r="M14" s="578">
        <f t="shared" si="3"/>
        <v>88721951</v>
      </c>
      <c r="N14" s="492">
        <v>88721951</v>
      </c>
      <c r="O14" s="582"/>
      <c r="P14" s="583">
        <f t="shared" si="0"/>
        <v>0.250000000704448</v>
      </c>
      <c r="Q14" s="1031">
        <f>(M14+M15)/G14</f>
        <v>0.20558712537848972</v>
      </c>
      <c r="R14" s="655" t="s">
        <v>533</v>
      </c>
      <c r="S14" s="652">
        <f t="shared" si="1"/>
        <v>0.74999999929555206</v>
      </c>
      <c r="T14" s="5">
        <f t="shared" si="2"/>
        <v>266165852</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row>
    <row r="15" spans="1:89" ht="210.75" customHeight="1" x14ac:dyDescent="0.25">
      <c r="A15" s="1128"/>
      <c r="B15" s="1085"/>
      <c r="C15" s="1085"/>
      <c r="D15" s="789"/>
      <c r="E15" s="1018"/>
      <c r="F15" s="1029"/>
      <c r="G15" s="1026"/>
      <c r="H15" s="1088"/>
      <c r="I15" s="1061"/>
      <c r="J15" s="585" t="s">
        <v>30</v>
      </c>
      <c r="K15" s="585" t="s">
        <v>320</v>
      </c>
      <c r="L15" s="341">
        <v>300000</v>
      </c>
      <c r="M15" s="578">
        <f t="shared" si="3"/>
        <v>300000</v>
      </c>
      <c r="N15" s="493">
        <v>300000</v>
      </c>
      <c r="O15" s="582"/>
      <c r="P15" s="583">
        <f t="shared" si="0"/>
        <v>1</v>
      </c>
      <c r="Q15" s="1032"/>
      <c r="R15" s="726" t="s">
        <v>675</v>
      </c>
      <c r="S15" s="652">
        <f t="shared" si="1"/>
        <v>0</v>
      </c>
      <c r="T15" s="5">
        <f t="shared" si="2"/>
        <v>0</v>
      </c>
    </row>
    <row r="16" spans="1:89" ht="285" customHeight="1" x14ac:dyDescent="0.25">
      <c r="A16" s="1113">
        <v>5</v>
      </c>
      <c r="B16" s="1116" t="s">
        <v>63</v>
      </c>
      <c r="C16" s="1048" t="s">
        <v>216</v>
      </c>
      <c r="D16" s="1012" t="s">
        <v>665</v>
      </c>
      <c r="E16" s="1046" t="s">
        <v>77</v>
      </c>
      <c r="F16" s="1044" t="s">
        <v>8</v>
      </c>
      <c r="G16" s="1042">
        <v>392633824.95999998</v>
      </c>
      <c r="H16" s="1040" t="s">
        <v>63</v>
      </c>
      <c r="I16" s="1013" t="s">
        <v>368</v>
      </c>
      <c r="J16" s="585" t="s">
        <v>142</v>
      </c>
      <c r="K16" s="585" t="s">
        <v>279</v>
      </c>
      <c r="L16" s="341">
        <v>31074718.09</v>
      </c>
      <c r="M16" s="578">
        <f t="shared" si="3"/>
        <v>31074718.09</v>
      </c>
      <c r="N16" s="493">
        <v>31074718.09</v>
      </c>
      <c r="O16" s="582"/>
      <c r="P16" s="583">
        <f t="shared" si="0"/>
        <v>1</v>
      </c>
      <c r="Q16" s="593">
        <f>M16/G16</f>
        <v>7.9144271620423368E-2</v>
      </c>
      <c r="R16" s="655" t="s">
        <v>534</v>
      </c>
      <c r="S16" s="652">
        <f t="shared" si="1"/>
        <v>0</v>
      </c>
      <c r="T16" s="5">
        <f t="shared" si="2"/>
        <v>0</v>
      </c>
    </row>
    <row r="17" spans="1:20" ht="120.75" customHeight="1" x14ac:dyDescent="0.25">
      <c r="A17" s="1114"/>
      <c r="B17" s="1117"/>
      <c r="C17" s="1063"/>
      <c r="D17" s="805"/>
      <c r="E17" s="1100"/>
      <c r="F17" s="1099"/>
      <c r="G17" s="1098"/>
      <c r="H17" s="1086"/>
      <c r="I17" s="1033"/>
      <c r="J17" s="585" t="s">
        <v>475</v>
      </c>
      <c r="K17" s="585" t="s">
        <v>476</v>
      </c>
      <c r="L17" s="341">
        <f>134201.25*0.85</f>
        <v>114071.0625</v>
      </c>
      <c r="M17" s="578">
        <f>N17+O17</f>
        <v>114071.0625</v>
      </c>
      <c r="N17" s="493">
        <v>0</v>
      </c>
      <c r="O17" s="582">
        <f>134201.25*0.85</f>
        <v>114071.0625</v>
      </c>
      <c r="P17" s="583">
        <f t="shared" si="0"/>
        <v>1</v>
      </c>
      <c r="Q17" s="593">
        <f>M17/G16</f>
        <v>2.9052785381295443E-4</v>
      </c>
      <c r="R17" s="732" t="s">
        <v>685</v>
      </c>
      <c r="S17" s="652"/>
      <c r="T17" s="5"/>
    </row>
    <row r="18" spans="1:20" ht="105" x14ac:dyDescent="0.25">
      <c r="A18" s="1115"/>
      <c r="B18" s="1051"/>
      <c r="C18" s="1049"/>
      <c r="D18" s="806"/>
      <c r="E18" s="1047"/>
      <c r="F18" s="1045"/>
      <c r="G18" s="1043"/>
      <c r="H18" s="1041"/>
      <c r="I18" s="1014"/>
      <c r="J18" s="585" t="s">
        <v>475</v>
      </c>
      <c r="K18" s="733" t="s">
        <v>686</v>
      </c>
      <c r="L18" s="341">
        <f>361507.25*0.85</f>
        <v>307281.16249999998</v>
      </c>
      <c r="M18" s="578">
        <f>N18+O18</f>
        <v>307281.16249999998</v>
      </c>
      <c r="N18" s="493">
        <v>0</v>
      </c>
      <c r="O18" s="582">
        <f>361507.25*0.85</f>
        <v>307281.16249999998</v>
      </c>
      <c r="P18" s="583">
        <f t="shared" si="0"/>
        <v>1</v>
      </c>
      <c r="Q18" s="593">
        <f>M18/G16</f>
        <v>7.8261510589747228E-4</v>
      </c>
      <c r="R18" s="732" t="s">
        <v>687</v>
      </c>
      <c r="S18" s="652"/>
      <c r="T18" s="5"/>
    </row>
    <row r="19" spans="1:20" ht="228.75" customHeight="1" x14ac:dyDescent="0.25">
      <c r="A19" s="1113">
        <v>6</v>
      </c>
      <c r="B19" s="1050" t="s">
        <v>63</v>
      </c>
      <c r="C19" s="1048" t="s">
        <v>170</v>
      </c>
      <c r="D19" s="1012" t="s">
        <v>665</v>
      </c>
      <c r="E19" s="1046" t="s">
        <v>78</v>
      </c>
      <c r="F19" s="1044" t="s">
        <v>8</v>
      </c>
      <c r="G19" s="1042">
        <v>77931313.939999998</v>
      </c>
      <c r="H19" s="1040" t="s">
        <v>63</v>
      </c>
      <c r="I19" s="1013" t="s">
        <v>368</v>
      </c>
      <c r="J19" s="585" t="s">
        <v>142</v>
      </c>
      <c r="K19" s="585" t="s">
        <v>321</v>
      </c>
      <c r="L19" s="341">
        <f>19504849.28+97231.82</f>
        <v>19602081.100000001</v>
      </c>
      <c r="M19" s="578">
        <f t="shared" si="3"/>
        <v>16260597.42</v>
      </c>
      <c r="N19" s="493">
        <v>16260597.42</v>
      </c>
      <c r="O19" s="598"/>
      <c r="P19" s="583">
        <f t="shared" si="0"/>
        <v>0.82953423858653452</v>
      </c>
      <c r="Q19" s="593">
        <f>M19/G19</f>
        <v>0.20865293548777039</v>
      </c>
      <c r="R19" s="655" t="s">
        <v>535</v>
      </c>
      <c r="S19" s="652">
        <f t="shared" si="1"/>
        <v>0.17046576141346551</v>
      </c>
      <c r="T19" s="5">
        <f t="shared" si="2"/>
        <v>3341483.6800000016</v>
      </c>
    </row>
    <row r="20" spans="1:20" ht="151.5" customHeight="1" x14ac:dyDescent="0.25">
      <c r="A20" s="1115"/>
      <c r="B20" s="1051"/>
      <c r="C20" s="1049"/>
      <c r="D20" s="806"/>
      <c r="E20" s="1047"/>
      <c r="F20" s="1045"/>
      <c r="G20" s="1043"/>
      <c r="H20" s="1041"/>
      <c r="I20" s="1014"/>
      <c r="J20" s="585" t="s">
        <v>475</v>
      </c>
      <c r="K20" s="585" t="s">
        <v>484</v>
      </c>
      <c r="L20" s="341">
        <v>44293.75</v>
      </c>
      <c r="M20" s="578">
        <f>N20+O20</f>
        <v>37649.68</v>
      </c>
      <c r="N20" s="493">
        <v>0</v>
      </c>
      <c r="O20" s="582">
        <v>37649.68</v>
      </c>
      <c r="P20" s="583">
        <f t="shared" si="0"/>
        <v>0.84999983067588547</v>
      </c>
      <c r="Q20" s="593">
        <f>M20/G19</f>
        <v>4.8311363040775651E-4</v>
      </c>
      <c r="R20" s="717" t="s">
        <v>653</v>
      </c>
      <c r="S20" s="652"/>
      <c r="T20" s="5"/>
    </row>
    <row r="21" spans="1:20" ht="224.25" customHeight="1" x14ac:dyDescent="0.25">
      <c r="A21" s="1113">
        <v>7</v>
      </c>
      <c r="B21" s="1050" t="s">
        <v>63</v>
      </c>
      <c r="C21" s="1105" t="s">
        <v>171</v>
      </c>
      <c r="D21" s="1012" t="s">
        <v>665</v>
      </c>
      <c r="E21" s="1046" t="s">
        <v>78</v>
      </c>
      <c r="F21" s="1044" t="s">
        <v>8</v>
      </c>
      <c r="G21" s="1042">
        <v>429420137.85000002</v>
      </c>
      <c r="H21" s="1040" t="s">
        <v>63</v>
      </c>
      <c r="I21" s="1013" t="s">
        <v>368</v>
      </c>
      <c r="J21" s="585" t="s">
        <v>142</v>
      </c>
      <c r="K21" s="585" t="s">
        <v>280</v>
      </c>
      <c r="L21" s="341">
        <v>36122816.009999998</v>
      </c>
      <c r="M21" s="578">
        <f t="shared" si="3"/>
        <v>36122816.009999998</v>
      </c>
      <c r="N21" s="493">
        <v>36122816.009999998</v>
      </c>
      <c r="O21" s="582"/>
      <c r="P21" s="583">
        <f t="shared" si="0"/>
        <v>1</v>
      </c>
      <c r="Q21" s="593">
        <f>M21/G21</f>
        <v>8.4119986060406868E-2</v>
      </c>
      <c r="R21" s="655" t="s">
        <v>536</v>
      </c>
      <c r="S21" s="652">
        <f t="shared" si="1"/>
        <v>0</v>
      </c>
      <c r="T21" s="5">
        <f t="shared" si="2"/>
        <v>0</v>
      </c>
    </row>
    <row r="22" spans="1:20" ht="126.75" customHeight="1" x14ac:dyDescent="0.25">
      <c r="A22" s="1115"/>
      <c r="B22" s="1051"/>
      <c r="C22" s="1049"/>
      <c r="D22" s="806"/>
      <c r="E22" s="1047"/>
      <c r="F22" s="1045"/>
      <c r="G22" s="1043"/>
      <c r="H22" s="1041"/>
      <c r="I22" s="1014"/>
      <c r="J22" s="585" t="s">
        <v>475</v>
      </c>
      <c r="K22" s="585" t="s">
        <v>480</v>
      </c>
      <c r="L22" s="341">
        <v>397500</v>
      </c>
      <c r="M22" s="578">
        <f>N22+O22</f>
        <v>337874.99</v>
      </c>
      <c r="N22" s="493">
        <v>0</v>
      </c>
      <c r="O22" s="582">
        <v>337874.99</v>
      </c>
      <c r="P22" s="583">
        <f t="shared" ref="P22" si="4">M22/L22</f>
        <v>0.84999997484276724</v>
      </c>
      <c r="Q22" s="593">
        <f>M22/G21</f>
        <v>7.8681682627101783E-4</v>
      </c>
      <c r="R22" s="717" t="s">
        <v>652</v>
      </c>
      <c r="S22" s="652"/>
      <c r="T22" s="5"/>
    </row>
    <row r="23" spans="1:20" ht="178.5" customHeight="1" x14ac:dyDescent="0.25">
      <c r="A23" s="1127">
        <v>8</v>
      </c>
      <c r="B23" s="1083" t="s">
        <v>66</v>
      </c>
      <c r="C23" s="1083" t="s">
        <v>67</v>
      </c>
      <c r="D23" s="788" t="s">
        <v>666</v>
      </c>
      <c r="E23" s="1111" t="s">
        <v>215</v>
      </c>
      <c r="F23" s="1027" t="s">
        <v>68</v>
      </c>
      <c r="G23" s="932">
        <v>7850000</v>
      </c>
      <c r="H23" s="1107" t="s">
        <v>537</v>
      </c>
      <c r="I23" s="987" t="s">
        <v>164</v>
      </c>
      <c r="J23" s="585" t="s">
        <v>143</v>
      </c>
      <c r="K23" s="585" t="s">
        <v>458</v>
      </c>
      <c r="L23" s="341">
        <v>1851077.37</v>
      </c>
      <c r="M23" s="578">
        <f t="shared" si="3"/>
        <v>3316481.86</v>
      </c>
      <c r="N23" s="599">
        <v>0</v>
      </c>
      <c r="O23" s="527">
        <v>3316481.86</v>
      </c>
      <c r="P23" s="583">
        <f t="shared" si="0"/>
        <v>1.7916495084157393</v>
      </c>
      <c r="Q23" s="1031">
        <f>(M23+M24)/G23</f>
        <v>0.42885119235668789</v>
      </c>
      <c r="R23" s="655" t="s">
        <v>538</v>
      </c>
      <c r="S23" s="652">
        <f t="shared" si="1"/>
        <v>-0.79164950841573933</v>
      </c>
      <c r="T23" s="5">
        <f t="shared" si="2"/>
        <v>-1465404.4899999998</v>
      </c>
    </row>
    <row r="24" spans="1:20" ht="63" customHeight="1" x14ac:dyDescent="0.25">
      <c r="A24" s="1128"/>
      <c r="B24" s="1085"/>
      <c r="C24" s="1085"/>
      <c r="D24" s="789"/>
      <c r="E24" s="1112"/>
      <c r="F24" s="1029"/>
      <c r="G24" s="1030"/>
      <c r="H24" s="1108"/>
      <c r="I24" s="1061"/>
      <c r="J24" s="600" t="s">
        <v>152</v>
      </c>
      <c r="K24" s="585" t="s">
        <v>291</v>
      </c>
      <c r="L24" s="341">
        <v>50000</v>
      </c>
      <c r="M24" s="578">
        <f t="shared" si="3"/>
        <v>50000</v>
      </c>
      <c r="N24" s="493">
        <v>50000</v>
      </c>
      <c r="O24" s="582"/>
      <c r="P24" s="583">
        <f t="shared" si="0"/>
        <v>1</v>
      </c>
      <c r="Q24" s="1032"/>
      <c r="R24" s="655" t="s">
        <v>539</v>
      </c>
      <c r="S24" s="652">
        <f t="shared" si="1"/>
        <v>0</v>
      </c>
      <c r="T24" s="5">
        <f t="shared" si="2"/>
        <v>0</v>
      </c>
    </row>
    <row r="25" spans="1:20" ht="214.5" customHeight="1" x14ac:dyDescent="0.25">
      <c r="A25" s="1127">
        <v>9</v>
      </c>
      <c r="B25" s="1083" t="s">
        <v>122</v>
      </c>
      <c r="C25" s="1053" t="s">
        <v>172</v>
      </c>
      <c r="D25" s="1021" t="s">
        <v>672</v>
      </c>
      <c r="E25" s="1109" t="s">
        <v>121</v>
      </c>
      <c r="F25" s="1027" t="s">
        <v>8</v>
      </c>
      <c r="G25" s="1024">
        <v>120250460.58</v>
      </c>
      <c r="H25" s="1087" t="s">
        <v>122</v>
      </c>
      <c r="I25" s="987" t="s">
        <v>332</v>
      </c>
      <c r="J25" s="585" t="s">
        <v>142</v>
      </c>
      <c r="K25" s="213" t="s">
        <v>322</v>
      </c>
      <c r="L25" s="341">
        <v>8920521.7899999991</v>
      </c>
      <c r="M25" s="578">
        <f t="shared" si="3"/>
        <v>8920521.7899999991</v>
      </c>
      <c r="N25" s="489">
        <v>8920521.7899999991</v>
      </c>
      <c r="O25" s="582"/>
      <c r="P25" s="583">
        <f t="shared" si="0"/>
        <v>1</v>
      </c>
      <c r="Q25" s="1031">
        <f>(M25+M26+M27+M28)/G25</f>
        <v>0.10790177540623937</v>
      </c>
      <c r="R25" s="655" t="s">
        <v>540</v>
      </c>
      <c r="S25" s="652">
        <f t="shared" si="1"/>
        <v>0</v>
      </c>
      <c r="T25" s="5">
        <f t="shared" si="2"/>
        <v>0</v>
      </c>
    </row>
    <row r="26" spans="1:20" ht="320.25" customHeight="1" x14ac:dyDescent="0.25">
      <c r="A26" s="1136"/>
      <c r="B26" s="1084"/>
      <c r="C26" s="1110"/>
      <c r="D26" s="790"/>
      <c r="E26" s="1017"/>
      <c r="F26" s="1028"/>
      <c r="G26" s="1025"/>
      <c r="H26" s="1106"/>
      <c r="I26" s="1062"/>
      <c r="J26" s="585" t="s">
        <v>139</v>
      </c>
      <c r="K26" s="585" t="s">
        <v>333</v>
      </c>
      <c r="L26" s="586">
        <v>7905397.8399999999</v>
      </c>
      <c r="M26" s="578">
        <f t="shared" si="3"/>
        <v>3914716.4</v>
      </c>
      <c r="N26" s="502">
        <v>3914716.4</v>
      </c>
      <c r="O26" s="582"/>
      <c r="P26" s="583">
        <f t="shared" si="0"/>
        <v>0.49519536894047067</v>
      </c>
      <c r="Q26" s="1037"/>
      <c r="R26" s="655" t="s">
        <v>541</v>
      </c>
      <c r="S26" s="652">
        <f t="shared" si="1"/>
        <v>0.50480463105952933</v>
      </c>
      <c r="T26" s="5">
        <f t="shared" si="2"/>
        <v>3990681.44</v>
      </c>
    </row>
    <row r="27" spans="1:20" ht="69.75" customHeight="1" x14ac:dyDescent="0.25">
      <c r="A27" s="1136"/>
      <c r="B27" s="1084"/>
      <c r="C27" s="1110"/>
      <c r="D27" s="790"/>
      <c r="E27" s="1017"/>
      <c r="F27" s="1028"/>
      <c r="G27" s="1025"/>
      <c r="H27" s="1106"/>
      <c r="I27" s="1062"/>
      <c r="J27" s="600" t="s">
        <v>152</v>
      </c>
      <c r="K27" s="585" t="s">
        <v>323</v>
      </c>
      <c r="L27" s="586">
        <v>100000</v>
      </c>
      <c r="M27" s="578">
        <f t="shared" si="3"/>
        <v>100000</v>
      </c>
      <c r="N27" s="489">
        <v>100000</v>
      </c>
      <c r="O27" s="582"/>
      <c r="P27" s="583">
        <f t="shared" si="0"/>
        <v>1</v>
      </c>
      <c r="Q27" s="1037"/>
      <c r="R27" s="655" t="s">
        <v>542</v>
      </c>
      <c r="S27" s="652">
        <f t="shared" si="1"/>
        <v>0</v>
      </c>
      <c r="T27" s="5">
        <f t="shared" si="2"/>
        <v>0</v>
      </c>
    </row>
    <row r="28" spans="1:20" ht="60" customHeight="1" x14ac:dyDescent="0.25">
      <c r="A28" s="1128"/>
      <c r="B28" s="1085"/>
      <c r="C28" s="1054"/>
      <c r="D28" s="789"/>
      <c r="E28" s="1018"/>
      <c r="F28" s="1029"/>
      <c r="G28" s="1026"/>
      <c r="H28" s="1088"/>
      <c r="I28" s="1061"/>
      <c r="J28" s="600" t="s">
        <v>152</v>
      </c>
      <c r="K28" s="585" t="s">
        <v>292</v>
      </c>
      <c r="L28" s="586">
        <v>40000</v>
      </c>
      <c r="M28" s="578">
        <f t="shared" si="3"/>
        <v>40000</v>
      </c>
      <c r="N28" s="489">
        <v>40000</v>
      </c>
      <c r="O28" s="582"/>
      <c r="P28" s="583">
        <f t="shared" si="0"/>
        <v>1</v>
      </c>
      <c r="Q28" s="1032"/>
      <c r="R28" s="655" t="s">
        <v>543</v>
      </c>
      <c r="S28" s="652">
        <f t="shared" si="1"/>
        <v>0</v>
      </c>
      <c r="T28" s="5">
        <f t="shared" si="2"/>
        <v>0</v>
      </c>
    </row>
    <row r="29" spans="1:20" ht="384" customHeight="1" x14ac:dyDescent="0.25">
      <c r="A29" s="1127">
        <v>10</v>
      </c>
      <c r="B29" s="1083" t="s">
        <v>69</v>
      </c>
      <c r="C29" s="1083" t="s">
        <v>358</v>
      </c>
      <c r="D29" s="788" t="s">
        <v>664</v>
      </c>
      <c r="E29" s="1111" t="s">
        <v>79</v>
      </c>
      <c r="F29" s="1027" t="s">
        <v>8</v>
      </c>
      <c r="G29" s="932">
        <v>13225586.65</v>
      </c>
      <c r="H29" s="1107" t="s">
        <v>69</v>
      </c>
      <c r="I29" s="987" t="s">
        <v>369</v>
      </c>
      <c r="J29" s="585" t="s">
        <v>142</v>
      </c>
      <c r="K29" s="585" t="s">
        <v>379</v>
      </c>
      <c r="L29" s="238">
        <v>2359075.4700000002</v>
      </c>
      <c r="M29" s="578">
        <f t="shared" si="3"/>
        <v>2359075.4700000002</v>
      </c>
      <c r="N29" s="489">
        <v>2359075.4700000002</v>
      </c>
      <c r="O29" s="239"/>
      <c r="P29" s="583">
        <f t="shared" si="0"/>
        <v>1</v>
      </c>
      <c r="Q29" s="1031">
        <f>(M29)/G29</f>
        <v>0.17837208529422777</v>
      </c>
      <c r="R29" s="655" t="s">
        <v>544</v>
      </c>
      <c r="S29" s="652">
        <f t="shared" si="1"/>
        <v>0</v>
      </c>
      <c r="T29" s="5">
        <f t="shared" si="2"/>
        <v>0</v>
      </c>
    </row>
    <row r="30" spans="1:20" ht="75" customHeight="1" x14ac:dyDescent="0.25">
      <c r="A30" s="1128"/>
      <c r="B30" s="1085"/>
      <c r="C30" s="1085"/>
      <c r="D30" s="789"/>
      <c r="E30" s="1112"/>
      <c r="F30" s="1029"/>
      <c r="G30" s="1030"/>
      <c r="H30" s="1108"/>
      <c r="I30" s="1061"/>
      <c r="J30" s="585" t="s">
        <v>30</v>
      </c>
      <c r="K30" s="585" t="s">
        <v>545</v>
      </c>
      <c r="L30" s="341">
        <v>0</v>
      </c>
      <c r="M30" s="341">
        <v>0</v>
      </c>
      <c r="N30" s="601">
        <v>0</v>
      </c>
      <c r="O30" s="494">
        <v>0</v>
      </c>
      <c r="P30" s="583" t="s">
        <v>211</v>
      </c>
      <c r="Q30" s="1032"/>
      <c r="R30" s="655" t="s">
        <v>546</v>
      </c>
      <c r="S30" s="652" t="e">
        <f t="shared" si="1"/>
        <v>#DIV/0!</v>
      </c>
      <c r="T30" s="5">
        <f t="shared" si="2"/>
        <v>0</v>
      </c>
    </row>
    <row r="31" spans="1:20" ht="217.5" customHeight="1" x14ac:dyDescent="0.25">
      <c r="A31" s="1127">
        <v>11</v>
      </c>
      <c r="B31" s="1048" t="s">
        <v>70</v>
      </c>
      <c r="C31" s="1048" t="s">
        <v>173</v>
      </c>
      <c r="D31" s="1012" t="s">
        <v>666</v>
      </c>
      <c r="E31" s="1046" t="s">
        <v>80</v>
      </c>
      <c r="F31" s="1044" t="s">
        <v>8</v>
      </c>
      <c r="G31" s="1042">
        <v>49829552.140000001</v>
      </c>
      <c r="H31" s="1040" t="s">
        <v>531</v>
      </c>
      <c r="I31" s="1013" t="s">
        <v>276</v>
      </c>
      <c r="J31" s="585" t="s">
        <v>142</v>
      </c>
      <c r="K31" s="585" t="s">
        <v>380</v>
      </c>
      <c r="L31" s="238">
        <f>9646134.9+203643</f>
        <v>9849777.9000000004</v>
      </c>
      <c r="M31" s="602">
        <f>N31+O31</f>
        <v>2351606.3790000002</v>
      </c>
      <c r="N31" s="503">
        <f>2766595.74 *0.85</f>
        <v>2351606.3790000002</v>
      </c>
      <c r="O31" s="495"/>
      <c r="P31" s="583">
        <f t="shared" si="0"/>
        <v>0.23874714768949259</v>
      </c>
      <c r="Q31" s="1031">
        <f>M31/G31</f>
        <v>4.7193006519363832E-2</v>
      </c>
      <c r="R31" s="655" t="s">
        <v>547</v>
      </c>
      <c r="S31" s="652">
        <f t="shared" si="1"/>
        <v>0.76125285231050732</v>
      </c>
      <c r="T31" s="5">
        <f t="shared" si="2"/>
        <v>7498171.5209999997</v>
      </c>
    </row>
    <row r="32" spans="1:20" ht="114" customHeight="1" x14ac:dyDescent="0.25">
      <c r="A32" s="1136"/>
      <c r="B32" s="1063"/>
      <c r="C32" s="1063"/>
      <c r="D32" s="805"/>
      <c r="E32" s="1100"/>
      <c r="F32" s="1099"/>
      <c r="G32" s="1098"/>
      <c r="H32" s="1086"/>
      <c r="I32" s="1033"/>
      <c r="J32" s="585" t="s">
        <v>30</v>
      </c>
      <c r="K32" s="585" t="s">
        <v>334</v>
      </c>
      <c r="L32" s="341" t="s">
        <v>138</v>
      </c>
      <c r="M32" s="341" t="s">
        <v>138</v>
      </c>
      <c r="N32" s="603"/>
      <c r="O32" s="494" t="s">
        <v>138</v>
      </c>
      <c r="P32" s="583" t="s">
        <v>211</v>
      </c>
      <c r="Q32" s="1032"/>
      <c r="R32" s="655" t="s">
        <v>548</v>
      </c>
      <c r="S32" s="652" t="e">
        <f t="shared" si="1"/>
        <v>#VALUE!</v>
      </c>
      <c r="T32" s="5" t="e">
        <f t="shared" si="2"/>
        <v>#VALUE!</v>
      </c>
    </row>
    <row r="33" spans="1:20" ht="210" customHeight="1" x14ac:dyDescent="0.25">
      <c r="A33" s="1128"/>
      <c r="B33" s="1049"/>
      <c r="C33" s="1049"/>
      <c r="D33" s="806"/>
      <c r="E33" s="1047"/>
      <c r="F33" s="1045"/>
      <c r="G33" s="1043"/>
      <c r="H33" s="1041"/>
      <c r="I33" s="1014"/>
      <c r="J33" s="585" t="s">
        <v>475</v>
      </c>
      <c r="K33" s="585" t="s">
        <v>486</v>
      </c>
      <c r="L33" s="341">
        <f>7969147.37*0.85</f>
        <v>6773775.2644999996</v>
      </c>
      <c r="M33" s="578">
        <f>N33+O33</f>
        <v>7605521.8899999997</v>
      </c>
      <c r="N33" s="492">
        <v>7605521.8899999997</v>
      </c>
      <c r="O33" s="582">
        <v>0</v>
      </c>
      <c r="P33" s="583">
        <f t="shared" si="0"/>
        <v>1.1227892265424007</v>
      </c>
      <c r="Q33" s="593">
        <f>M33/G31</f>
        <v>0.15263074949242358</v>
      </c>
      <c r="R33" s="655" t="s">
        <v>549</v>
      </c>
      <c r="S33" s="652"/>
      <c r="T33" s="5"/>
    </row>
    <row r="34" spans="1:20" ht="195" customHeight="1" x14ac:dyDescent="0.25">
      <c r="A34" s="657">
        <v>12</v>
      </c>
      <c r="B34" s="604" t="s">
        <v>81</v>
      </c>
      <c r="C34" s="584" t="s">
        <v>288</v>
      </c>
      <c r="D34" s="722" t="s">
        <v>664</v>
      </c>
      <c r="E34" s="317" t="s">
        <v>336</v>
      </c>
      <c r="F34" s="589" t="s">
        <v>8</v>
      </c>
      <c r="G34" s="353">
        <v>26500000</v>
      </c>
      <c r="H34" s="605" t="s">
        <v>550</v>
      </c>
      <c r="I34" s="569" t="s">
        <v>168</v>
      </c>
      <c r="J34" s="585" t="s">
        <v>335</v>
      </c>
      <c r="K34" s="585" t="s">
        <v>293</v>
      </c>
      <c r="L34" s="581">
        <v>538872.96</v>
      </c>
      <c r="M34" s="578">
        <f>N34+O34</f>
        <v>538872.96</v>
      </c>
      <c r="N34" s="489">
        <v>538872.96</v>
      </c>
      <c r="O34" s="592"/>
      <c r="P34" s="583">
        <f t="shared" si="0"/>
        <v>1</v>
      </c>
      <c r="Q34" s="593">
        <f>M34/G34</f>
        <v>2.0334828679245281E-2</v>
      </c>
      <c r="R34" s="655" t="s">
        <v>551</v>
      </c>
      <c r="S34" s="652">
        <f t="shared" si="1"/>
        <v>0</v>
      </c>
      <c r="T34" s="5">
        <f t="shared" si="2"/>
        <v>0</v>
      </c>
    </row>
    <row r="35" spans="1:20" ht="210.75" customHeight="1" x14ac:dyDescent="0.25">
      <c r="A35" s="1129">
        <v>13</v>
      </c>
      <c r="B35" s="1053" t="s">
        <v>63</v>
      </c>
      <c r="C35" s="1104" t="s">
        <v>655</v>
      </c>
      <c r="D35" s="1021" t="s">
        <v>665</v>
      </c>
      <c r="E35" s="1083" t="s">
        <v>134</v>
      </c>
      <c r="F35" s="1132" t="s">
        <v>8</v>
      </c>
      <c r="G35" s="932">
        <v>75842841.900000006</v>
      </c>
      <c r="H35" s="1040" t="s">
        <v>63</v>
      </c>
      <c r="I35" s="936" t="s">
        <v>366</v>
      </c>
      <c r="J35" s="600" t="s">
        <v>142</v>
      </c>
      <c r="K35" s="585" t="s">
        <v>324</v>
      </c>
      <c r="L35" s="581">
        <v>101050.13</v>
      </c>
      <c r="M35" s="602">
        <f>N35+O35</f>
        <v>6582.4</v>
      </c>
      <c r="N35" s="496">
        <v>6582.4</v>
      </c>
      <c r="O35" s="606">
        <v>0</v>
      </c>
      <c r="P35" s="583">
        <f t="shared" si="0"/>
        <v>6.5139945886264566E-2</v>
      </c>
      <c r="Q35" s="1031">
        <f>(M35+M36)/G35</f>
        <v>3.5049051873674584E-3</v>
      </c>
      <c r="R35" s="718" t="s">
        <v>656</v>
      </c>
      <c r="S35" s="652">
        <f t="shared" si="1"/>
        <v>0.93486005411373552</v>
      </c>
      <c r="T35" s="5">
        <f t="shared" si="2"/>
        <v>94467.73000000001</v>
      </c>
    </row>
    <row r="36" spans="1:20" ht="144.75" customHeight="1" x14ac:dyDescent="0.25">
      <c r="A36" s="1131"/>
      <c r="B36" s="1054"/>
      <c r="C36" s="1054"/>
      <c r="D36" s="789"/>
      <c r="E36" s="1085"/>
      <c r="F36" s="1123"/>
      <c r="G36" s="1030"/>
      <c r="H36" s="1041"/>
      <c r="I36" s="1004"/>
      <c r="J36" s="600" t="s">
        <v>386</v>
      </c>
      <c r="K36" s="585" t="s">
        <v>487</v>
      </c>
      <c r="L36" s="581">
        <v>259239.57</v>
      </c>
      <c r="M36" s="607">
        <v>259239.57</v>
      </c>
      <c r="N36" s="503">
        <v>0</v>
      </c>
      <c r="O36" s="592">
        <v>259239.57</v>
      </c>
      <c r="P36" s="583">
        <f t="shared" si="0"/>
        <v>1</v>
      </c>
      <c r="Q36" s="1032"/>
      <c r="R36" s="717" t="s">
        <v>654</v>
      </c>
      <c r="S36" s="652"/>
      <c r="T36" s="5"/>
    </row>
    <row r="37" spans="1:20" ht="230.25" customHeight="1" x14ac:dyDescent="0.25">
      <c r="A37" s="1129">
        <v>14</v>
      </c>
      <c r="B37" s="1053" t="s">
        <v>63</v>
      </c>
      <c r="C37" s="1120" t="s">
        <v>174</v>
      </c>
      <c r="D37" s="1021" t="s">
        <v>665</v>
      </c>
      <c r="E37" s="1083" t="s">
        <v>82</v>
      </c>
      <c r="F37" s="1027" t="s">
        <v>8</v>
      </c>
      <c r="G37" s="932">
        <v>114675654.39</v>
      </c>
      <c r="H37" s="1040" t="s">
        <v>63</v>
      </c>
      <c r="I37" s="936" t="s">
        <v>368</v>
      </c>
      <c r="J37" s="585" t="s">
        <v>142</v>
      </c>
      <c r="K37" s="585" t="s">
        <v>383</v>
      </c>
      <c r="L37" s="581">
        <v>3378744.56</v>
      </c>
      <c r="M37" s="578">
        <v>872179.28</v>
      </c>
      <c r="N37" s="489">
        <v>872179.28</v>
      </c>
      <c r="O37" s="592"/>
      <c r="P37" s="583">
        <f>M37/L37</f>
        <v>0.25813708746304276</v>
      </c>
      <c r="Q37" s="1031">
        <f>(M37:M39)/G37</f>
        <v>7.6056185128345445E-3</v>
      </c>
      <c r="R37" s="655" t="s">
        <v>552</v>
      </c>
      <c r="S37" s="652">
        <f t="shared" si="1"/>
        <v>0.74186291253695724</v>
      </c>
      <c r="T37" s="5">
        <f t="shared" si="2"/>
        <v>2506565.2800000003</v>
      </c>
    </row>
    <row r="38" spans="1:20" ht="51.75" customHeight="1" x14ac:dyDescent="0.25">
      <c r="A38" s="1130"/>
      <c r="B38" s="1110"/>
      <c r="C38" s="1110"/>
      <c r="D38" s="790"/>
      <c r="E38" s="1084"/>
      <c r="F38" s="1028"/>
      <c r="G38" s="944"/>
      <c r="H38" s="1086"/>
      <c r="I38" s="952"/>
      <c r="J38" s="585" t="s">
        <v>152</v>
      </c>
      <c r="K38" s="585" t="s">
        <v>378</v>
      </c>
      <c r="L38" s="581">
        <v>0</v>
      </c>
      <c r="M38" s="578">
        <v>0</v>
      </c>
      <c r="N38" s="479">
        <v>0</v>
      </c>
      <c r="O38" s="592">
        <v>0</v>
      </c>
      <c r="P38" s="583">
        <v>0</v>
      </c>
      <c r="Q38" s="1037"/>
      <c r="R38" s="655" t="s">
        <v>553</v>
      </c>
      <c r="S38" s="652" t="e">
        <f t="shared" si="1"/>
        <v>#DIV/0!</v>
      </c>
      <c r="T38" s="5">
        <f t="shared" si="2"/>
        <v>0</v>
      </c>
    </row>
    <row r="39" spans="1:20" ht="126" customHeight="1" x14ac:dyDescent="0.25">
      <c r="A39" s="1131"/>
      <c r="B39" s="1054"/>
      <c r="C39" s="1054"/>
      <c r="D39" s="789"/>
      <c r="E39" s="1085"/>
      <c r="F39" s="1029"/>
      <c r="G39" s="1030"/>
      <c r="H39" s="1041"/>
      <c r="I39" s="1004"/>
      <c r="J39" s="585" t="s">
        <v>386</v>
      </c>
      <c r="K39" s="585" t="s">
        <v>487</v>
      </c>
      <c r="L39" s="608">
        <v>225882.28</v>
      </c>
      <c r="M39" s="578">
        <f>N39+O39</f>
        <v>186679.77</v>
      </c>
      <c r="N39" s="479">
        <v>0</v>
      </c>
      <c r="O39" s="592">
        <v>186679.77</v>
      </c>
      <c r="P39" s="583">
        <v>0</v>
      </c>
      <c r="Q39" s="1032"/>
      <c r="R39" s="744" t="s">
        <v>705</v>
      </c>
      <c r="S39" s="652">
        <f t="shared" si="1"/>
        <v>0.17355283468893623</v>
      </c>
      <c r="T39" s="5">
        <f t="shared" si="2"/>
        <v>39202.510000000009</v>
      </c>
    </row>
    <row r="40" spans="1:20" ht="279" customHeight="1" x14ac:dyDescent="0.25">
      <c r="A40" s="1129">
        <v>15</v>
      </c>
      <c r="B40" s="1053" t="s">
        <v>63</v>
      </c>
      <c r="C40" s="1053" t="s">
        <v>367</v>
      </c>
      <c r="D40" s="1021" t="s">
        <v>665</v>
      </c>
      <c r="E40" s="1083" t="s">
        <v>82</v>
      </c>
      <c r="F40" s="1027" t="s">
        <v>8</v>
      </c>
      <c r="G40" s="932">
        <v>97211812.730000004</v>
      </c>
      <c r="H40" s="1040" t="s">
        <v>63</v>
      </c>
      <c r="I40" s="936" t="s">
        <v>368</v>
      </c>
      <c r="J40" s="585" t="s">
        <v>142</v>
      </c>
      <c r="K40" s="585" t="s">
        <v>384</v>
      </c>
      <c r="L40" s="238">
        <v>1372882.5</v>
      </c>
      <c r="M40" s="497">
        <f>N40+O40</f>
        <v>682903.82</v>
      </c>
      <c r="N40" s="486">
        <v>682903.82</v>
      </c>
      <c r="O40" s="239"/>
      <c r="P40" s="498">
        <f t="shared" si="0"/>
        <v>0.49742335560399376</v>
      </c>
      <c r="Q40" s="1038">
        <f>(M40+M41)/G40</f>
        <v>1.4754757469483513E-2</v>
      </c>
      <c r="R40" s="658" t="s">
        <v>554</v>
      </c>
      <c r="S40" s="652">
        <f t="shared" si="1"/>
        <v>0.50257664439600624</v>
      </c>
      <c r="T40" s="5">
        <f t="shared" si="2"/>
        <v>689978.68</v>
      </c>
    </row>
    <row r="41" spans="1:20" ht="125.25" customHeight="1" x14ac:dyDescent="0.25">
      <c r="A41" s="1131"/>
      <c r="B41" s="1054"/>
      <c r="C41" s="1054"/>
      <c r="D41" s="789"/>
      <c r="E41" s="1085"/>
      <c r="F41" s="1029"/>
      <c r="G41" s="1030"/>
      <c r="H41" s="1041"/>
      <c r="I41" s="1004"/>
      <c r="J41" s="600" t="s">
        <v>386</v>
      </c>
      <c r="K41" s="585" t="s">
        <v>372</v>
      </c>
      <c r="L41" s="238">
        <v>910378.05</v>
      </c>
      <c r="M41" s="497">
        <f>N41+O41</f>
        <v>751432.9</v>
      </c>
      <c r="N41" s="479">
        <v>0</v>
      </c>
      <c r="O41" s="495">
        <v>751432.9</v>
      </c>
      <c r="P41" s="498">
        <v>1</v>
      </c>
      <c r="Q41" s="1039"/>
      <c r="R41" s="658" t="s">
        <v>706</v>
      </c>
      <c r="S41" s="652">
        <f t="shared" si="1"/>
        <v>0.17459246738209475</v>
      </c>
      <c r="T41" s="5">
        <f t="shared" si="2"/>
        <v>158945.15000000002</v>
      </c>
    </row>
    <row r="42" spans="1:20" ht="105" customHeight="1" x14ac:dyDescent="0.25">
      <c r="A42" s="1129">
        <v>16</v>
      </c>
      <c r="B42" s="1139" t="s">
        <v>122</v>
      </c>
      <c r="C42" s="1083" t="s">
        <v>175</v>
      </c>
      <c r="D42" s="788" t="s">
        <v>672</v>
      </c>
      <c r="E42" s="1101" t="s">
        <v>148</v>
      </c>
      <c r="F42" s="1027" t="s">
        <v>8</v>
      </c>
      <c r="G42" s="932">
        <v>126000000</v>
      </c>
      <c r="H42" s="1040" t="s">
        <v>122</v>
      </c>
      <c r="I42" s="936" t="s">
        <v>276</v>
      </c>
      <c r="J42" s="1048" t="s">
        <v>142</v>
      </c>
      <c r="K42" s="1058" t="s">
        <v>485</v>
      </c>
      <c r="L42" s="1089">
        <v>6710623.1600000001</v>
      </c>
      <c r="M42" s="1089">
        <f>N42+O42</f>
        <v>2486852.63</v>
      </c>
      <c r="N42" s="1092">
        <v>0</v>
      </c>
      <c r="O42" s="1095">
        <v>2486852.63</v>
      </c>
      <c r="P42" s="1031">
        <f>M42/L42</f>
        <v>0.37058445552767411</v>
      </c>
      <c r="Q42" s="1031">
        <f>M42/G42</f>
        <v>1.9736925634920632E-2</v>
      </c>
      <c r="R42" s="1055" t="s">
        <v>555</v>
      </c>
      <c r="S42" s="652">
        <f t="shared" si="1"/>
        <v>0.62941554447232595</v>
      </c>
      <c r="T42" s="5">
        <f t="shared" si="2"/>
        <v>4223770.53</v>
      </c>
    </row>
    <row r="43" spans="1:20" ht="75" customHeight="1" x14ac:dyDescent="0.25">
      <c r="A43" s="1130"/>
      <c r="B43" s="1140"/>
      <c r="C43" s="1084"/>
      <c r="D43" s="790"/>
      <c r="E43" s="1102"/>
      <c r="F43" s="1028"/>
      <c r="G43" s="944"/>
      <c r="H43" s="1086"/>
      <c r="I43" s="952"/>
      <c r="J43" s="1063"/>
      <c r="K43" s="1059"/>
      <c r="L43" s="1090"/>
      <c r="M43" s="1090"/>
      <c r="N43" s="1093"/>
      <c r="O43" s="1096"/>
      <c r="P43" s="1037"/>
      <c r="Q43" s="1037"/>
      <c r="R43" s="1056"/>
      <c r="S43" s="652" t="e">
        <f t="shared" si="1"/>
        <v>#DIV/0!</v>
      </c>
      <c r="T43" s="5">
        <f t="shared" si="2"/>
        <v>0</v>
      </c>
    </row>
    <row r="44" spans="1:20" ht="94.5" customHeight="1" x14ac:dyDescent="0.25">
      <c r="A44" s="1130"/>
      <c r="B44" s="1140"/>
      <c r="C44" s="1084"/>
      <c r="D44" s="790"/>
      <c r="E44" s="1102"/>
      <c r="F44" s="1028"/>
      <c r="G44" s="944"/>
      <c r="H44" s="1086"/>
      <c r="I44" s="952"/>
      <c r="J44" s="1049"/>
      <c r="K44" s="1060"/>
      <c r="L44" s="1091"/>
      <c r="M44" s="1091"/>
      <c r="N44" s="1094"/>
      <c r="O44" s="1097"/>
      <c r="P44" s="1032"/>
      <c r="Q44" s="1032"/>
      <c r="R44" s="1057"/>
      <c r="S44" s="652"/>
      <c r="T44" s="5"/>
    </row>
    <row r="45" spans="1:20" ht="149.25" customHeight="1" x14ac:dyDescent="0.25">
      <c r="A45" s="1130"/>
      <c r="B45" s="1140"/>
      <c r="C45" s="1084"/>
      <c r="D45" s="790"/>
      <c r="E45" s="1102"/>
      <c r="F45" s="1028"/>
      <c r="G45" s="944"/>
      <c r="H45" s="1086"/>
      <c r="I45" s="952"/>
      <c r="J45" s="609" t="s">
        <v>142</v>
      </c>
      <c r="K45" s="610" t="s">
        <v>477</v>
      </c>
      <c r="L45" s="611">
        <v>1604834.94</v>
      </c>
      <c r="M45" s="611">
        <f>N45+O45</f>
        <v>1604834.94</v>
      </c>
      <c r="N45" s="479">
        <v>0</v>
      </c>
      <c r="O45" s="526">
        <v>1604834.94</v>
      </c>
      <c r="P45" s="583">
        <f t="shared" ref="P45:P46" si="5">M45/L45</f>
        <v>1</v>
      </c>
      <c r="Q45" s="583">
        <f>M45/G42</f>
        <v>1.2736785238095238E-2</v>
      </c>
      <c r="R45" s="659" t="s">
        <v>556</v>
      </c>
      <c r="S45" s="652"/>
      <c r="T45" s="5"/>
    </row>
    <row r="46" spans="1:20" ht="409.5" customHeight="1" x14ac:dyDescent="0.25">
      <c r="A46" s="1131"/>
      <c r="B46" s="1141"/>
      <c r="C46" s="1085"/>
      <c r="D46" s="789"/>
      <c r="E46" s="1103"/>
      <c r="F46" s="1029"/>
      <c r="G46" s="1030"/>
      <c r="H46" s="1041"/>
      <c r="I46" s="1004"/>
      <c r="J46" s="609" t="s">
        <v>412</v>
      </c>
      <c r="K46" s="612" t="s">
        <v>504</v>
      </c>
      <c r="L46" s="611">
        <v>30000</v>
      </c>
      <c r="M46" s="611">
        <f>N46+O46</f>
        <v>30000</v>
      </c>
      <c r="N46" s="486">
        <v>30000</v>
      </c>
      <c r="O46" s="613"/>
      <c r="P46" s="583">
        <f t="shared" si="5"/>
        <v>1</v>
      </c>
      <c r="Q46" s="583">
        <f>M46/G42</f>
        <v>2.380952380952381E-4</v>
      </c>
      <c r="R46" s="745" t="s">
        <v>707</v>
      </c>
      <c r="S46" s="652"/>
      <c r="T46" s="5"/>
    </row>
    <row r="47" spans="1:20" ht="30" customHeight="1" x14ac:dyDescent="0.25">
      <c r="A47" s="1129">
        <v>17</v>
      </c>
      <c r="B47" s="1053" t="s">
        <v>206</v>
      </c>
      <c r="C47" s="1083" t="s">
        <v>389</v>
      </c>
      <c r="D47" s="788" t="s">
        <v>666</v>
      </c>
      <c r="E47" s="1142" t="s">
        <v>390</v>
      </c>
      <c r="F47" s="1027" t="s">
        <v>207</v>
      </c>
      <c r="G47" s="1145">
        <v>6993444</v>
      </c>
      <c r="H47" s="1107"/>
      <c r="I47" s="936" t="s">
        <v>391</v>
      </c>
      <c r="J47" s="585" t="s">
        <v>297</v>
      </c>
      <c r="K47" s="1058" t="s">
        <v>296</v>
      </c>
      <c r="L47" s="581">
        <v>6975444</v>
      </c>
      <c r="M47" s="581">
        <v>6975444</v>
      </c>
      <c r="N47" s="486">
        <v>6975444</v>
      </c>
      <c r="O47" s="592"/>
      <c r="P47" s="583">
        <f t="shared" si="0"/>
        <v>1</v>
      </c>
      <c r="Q47" s="1031">
        <f>(M47+M48+M49+M50)/G47</f>
        <v>2.0646685667319278</v>
      </c>
      <c r="R47" s="1064" t="s">
        <v>712</v>
      </c>
      <c r="S47" s="652">
        <f t="shared" si="1"/>
        <v>0</v>
      </c>
      <c r="T47" s="5">
        <f t="shared" si="2"/>
        <v>0</v>
      </c>
    </row>
    <row r="48" spans="1:20" ht="30" x14ac:dyDescent="0.25">
      <c r="A48" s="1130"/>
      <c r="B48" s="1110"/>
      <c r="C48" s="1084"/>
      <c r="D48" s="790"/>
      <c r="E48" s="1143"/>
      <c r="F48" s="1028"/>
      <c r="G48" s="1146"/>
      <c r="H48" s="1138"/>
      <c r="I48" s="952"/>
      <c r="J48" s="594" t="s">
        <v>300</v>
      </c>
      <c r="K48" s="1059"/>
      <c r="L48" s="578">
        <v>6993444</v>
      </c>
      <c r="M48" s="578">
        <v>6993444</v>
      </c>
      <c r="N48" s="499">
        <v>6993444</v>
      </c>
      <c r="O48" s="614"/>
      <c r="P48" s="583">
        <f t="shared" si="0"/>
        <v>1</v>
      </c>
      <c r="Q48" s="1037"/>
      <c r="R48" s="1065"/>
      <c r="S48" s="652">
        <f t="shared" si="1"/>
        <v>0</v>
      </c>
      <c r="T48" s="5">
        <f t="shared" si="2"/>
        <v>0</v>
      </c>
    </row>
    <row r="49" spans="1:20" ht="75.75" customHeight="1" x14ac:dyDescent="0.25">
      <c r="A49" s="1130"/>
      <c r="B49" s="1110"/>
      <c r="C49" s="1084"/>
      <c r="D49" s="790"/>
      <c r="E49" s="1143"/>
      <c r="F49" s="1028"/>
      <c r="G49" s="1146"/>
      <c r="H49" s="1138"/>
      <c r="I49" s="952"/>
      <c r="J49" s="585" t="s">
        <v>298</v>
      </c>
      <c r="K49" s="1059"/>
      <c r="L49" s="581">
        <v>452256</v>
      </c>
      <c r="M49" s="578">
        <f>N49+O49</f>
        <v>452256</v>
      </c>
      <c r="N49" s="486">
        <v>452256</v>
      </c>
      <c r="O49" s="592"/>
      <c r="P49" s="583">
        <f t="shared" si="0"/>
        <v>1</v>
      </c>
      <c r="Q49" s="1037"/>
      <c r="R49" s="1065"/>
      <c r="S49" s="652">
        <f t="shared" si="1"/>
        <v>0</v>
      </c>
      <c r="T49" s="5">
        <f t="shared" si="2"/>
        <v>0</v>
      </c>
    </row>
    <row r="50" spans="1:20" ht="96" customHeight="1" x14ac:dyDescent="0.25">
      <c r="A50" s="1131"/>
      <c r="B50" s="1054"/>
      <c r="C50" s="1085"/>
      <c r="D50" s="789"/>
      <c r="E50" s="1144"/>
      <c r="F50" s="1029"/>
      <c r="G50" s="1147"/>
      <c r="H50" s="1108"/>
      <c r="I50" s="1004"/>
      <c r="J50" s="585" t="s">
        <v>299</v>
      </c>
      <c r="K50" s="1060"/>
      <c r="L50" s="581">
        <v>18000</v>
      </c>
      <c r="M50" s="578">
        <f>N50+O50</f>
        <v>18000</v>
      </c>
      <c r="N50" s="486">
        <v>18000</v>
      </c>
      <c r="O50" s="592"/>
      <c r="P50" s="615">
        <f t="shared" si="0"/>
        <v>1</v>
      </c>
      <c r="Q50" s="1032"/>
      <c r="R50" s="1066"/>
      <c r="S50" s="652">
        <f t="shared" si="1"/>
        <v>0</v>
      </c>
      <c r="T50" s="5">
        <f t="shared" si="2"/>
        <v>0</v>
      </c>
    </row>
    <row r="51" spans="1:20" ht="295.5" customHeight="1" x14ac:dyDescent="0.25">
      <c r="A51" s="656">
        <v>18</v>
      </c>
      <c r="B51" s="616" t="s">
        <v>206</v>
      </c>
      <c r="C51" s="584" t="s">
        <v>346</v>
      </c>
      <c r="D51" s="722" t="s">
        <v>666</v>
      </c>
      <c r="E51" s="237" t="s">
        <v>347</v>
      </c>
      <c r="F51" s="589" t="s">
        <v>8</v>
      </c>
      <c r="G51" s="571">
        <v>30250000</v>
      </c>
      <c r="H51" s="605" t="s">
        <v>557</v>
      </c>
      <c r="I51" s="568" t="s">
        <v>370</v>
      </c>
      <c r="J51" s="584" t="s">
        <v>142</v>
      </c>
      <c r="K51" s="617" t="s">
        <v>356</v>
      </c>
      <c r="L51" s="581">
        <v>1127855.33</v>
      </c>
      <c r="M51" s="581">
        <f>N51+O51</f>
        <v>1010036.8899999999</v>
      </c>
      <c r="N51" s="486">
        <f>139888.21+870022.84+125.84</f>
        <v>1010036.8899999999</v>
      </c>
      <c r="O51" s="606"/>
      <c r="P51" s="583">
        <f t="shared" si="0"/>
        <v>0.89553763069949743</v>
      </c>
      <c r="Q51" s="583">
        <f>M51/G51</f>
        <v>3.3389649256198341E-2</v>
      </c>
      <c r="R51" s="655" t="s">
        <v>558</v>
      </c>
      <c r="S51" s="652">
        <f t="shared" si="1"/>
        <v>0.10446236930050255</v>
      </c>
      <c r="T51" s="5">
        <f t="shared" si="2"/>
        <v>117818.44000000018</v>
      </c>
    </row>
    <row r="52" spans="1:20" ht="146.25" customHeight="1" x14ac:dyDescent="0.25">
      <c r="A52" s="1113">
        <v>19</v>
      </c>
      <c r="B52" s="1050" t="s">
        <v>122</v>
      </c>
      <c r="C52" s="1048" t="s">
        <v>352</v>
      </c>
      <c r="D52" s="1012" t="s">
        <v>672</v>
      </c>
      <c r="E52" s="1046" t="s">
        <v>355</v>
      </c>
      <c r="F52" s="1044" t="s">
        <v>8</v>
      </c>
      <c r="G52" s="1042">
        <v>98373415</v>
      </c>
      <c r="H52" s="1040" t="s">
        <v>122</v>
      </c>
      <c r="I52" s="1013" t="s">
        <v>276</v>
      </c>
      <c r="J52" s="584" t="s">
        <v>142</v>
      </c>
      <c r="K52" s="617" t="s">
        <v>357</v>
      </c>
      <c r="L52" s="581">
        <v>25434805</v>
      </c>
      <c r="M52" s="581">
        <v>0</v>
      </c>
      <c r="N52" s="734">
        <v>0</v>
      </c>
      <c r="O52" s="606">
        <f>M52</f>
        <v>0</v>
      </c>
      <c r="P52" s="583">
        <f t="shared" si="0"/>
        <v>0</v>
      </c>
      <c r="Q52" s="583">
        <f>M52/G52</f>
        <v>0</v>
      </c>
      <c r="R52" s="655" t="s">
        <v>559</v>
      </c>
      <c r="S52" s="652">
        <f t="shared" si="1"/>
        <v>1</v>
      </c>
      <c r="T52" s="5">
        <f t="shared" si="2"/>
        <v>25434805</v>
      </c>
    </row>
    <row r="53" spans="1:20" ht="66" customHeight="1" x14ac:dyDescent="0.25">
      <c r="A53" s="1115"/>
      <c r="B53" s="1051"/>
      <c r="C53" s="1049"/>
      <c r="D53" s="806"/>
      <c r="E53" s="1047"/>
      <c r="F53" s="1045"/>
      <c r="G53" s="1043"/>
      <c r="H53" s="1041"/>
      <c r="I53" s="1014"/>
      <c r="J53" s="576" t="s">
        <v>497</v>
      </c>
      <c r="K53" s="618" t="s">
        <v>480</v>
      </c>
      <c r="L53" s="578">
        <v>0</v>
      </c>
      <c r="M53" s="578">
        <v>0</v>
      </c>
      <c r="N53" s="735">
        <v>0</v>
      </c>
      <c r="O53" s="619">
        <v>0</v>
      </c>
      <c r="P53" s="580"/>
      <c r="Q53" s="580"/>
      <c r="R53" s="660" t="s">
        <v>560</v>
      </c>
      <c r="S53" s="652"/>
      <c r="T53" s="5"/>
    </row>
    <row r="54" spans="1:20" ht="212.25" customHeight="1" x14ac:dyDescent="0.25">
      <c r="A54" s="1113">
        <v>20</v>
      </c>
      <c r="B54" s="1083" t="s">
        <v>69</v>
      </c>
      <c r="C54" s="1083" t="s">
        <v>353</v>
      </c>
      <c r="D54" s="788" t="s">
        <v>664</v>
      </c>
      <c r="E54" s="1111" t="s">
        <v>354</v>
      </c>
      <c r="F54" s="1027" t="s">
        <v>8</v>
      </c>
      <c r="G54" s="932">
        <v>18098660.440000001</v>
      </c>
      <c r="H54" s="1040" t="s">
        <v>561</v>
      </c>
      <c r="I54" s="936" t="s">
        <v>276</v>
      </c>
      <c r="J54" s="620" t="s">
        <v>142</v>
      </c>
      <c r="K54" s="621" t="s">
        <v>395</v>
      </c>
      <c r="L54" s="586">
        <v>623121.87</v>
      </c>
      <c r="M54" s="586">
        <v>554433.1</v>
      </c>
      <c r="N54" s="486">
        <v>554433.1</v>
      </c>
      <c r="O54" s="598"/>
      <c r="P54" s="622">
        <f t="shared" si="0"/>
        <v>0.88976671610001423</v>
      </c>
      <c r="Q54" s="1031">
        <f>M54/G54</f>
        <v>3.0633930165054796E-2</v>
      </c>
      <c r="R54" s="655" t="s">
        <v>562</v>
      </c>
      <c r="S54" s="652">
        <f t="shared" si="1"/>
        <v>0.11023328389998575</v>
      </c>
      <c r="T54" s="5">
        <f t="shared" si="2"/>
        <v>68688.770000000019</v>
      </c>
    </row>
    <row r="55" spans="1:20" ht="91.5" customHeight="1" x14ac:dyDescent="0.25">
      <c r="A55" s="1115"/>
      <c r="B55" s="1085"/>
      <c r="C55" s="1085"/>
      <c r="D55" s="789"/>
      <c r="E55" s="1112"/>
      <c r="F55" s="1029"/>
      <c r="G55" s="1030"/>
      <c r="H55" s="1041"/>
      <c r="I55" s="1004"/>
      <c r="J55" s="584" t="s">
        <v>393</v>
      </c>
      <c r="K55" s="623" t="s">
        <v>394</v>
      </c>
      <c r="L55" s="586">
        <v>72625.27</v>
      </c>
      <c r="M55" s="586">
        <f>O55</f>
        <v>0</v>
      </c>
      <c r="N55" s="624"/>
      <c r="O55" s="598">
        <v>0</v>
      </c>
      <c r="P55" s="622">
        <f t="shared" si="0"/>
        <v>0</v>
      </c>
      <c r="Q55" s="1032"/>
      <c r="R55" s="655" t="s">
        <v>563</v>
      </c>
      <c r="S55" s="652">
        <f t="shared" si="1"/>
        <v>1</v>
      </c>
      <c r="T55" s="5">
        <f t="shared" si="2"/>
        <v>72625.27</v>
      </c>
    </row>
    <row r="56" spans="1:20" ht="169.5" customHeight="1" x14ac:dyDescent="0.25">
      <c r="A56" s="661">
        <v>21</v>
      </c>
      <c r="B56" s="620" t="s">
        <v>206</v>
      </c>
      <c r="C56" s="620" t="s">
        <v>381</v>
      </c>
      <c r="D56" s="723" t="s">
        <v>666</v>
      </c>
      <c r="E56" s="570" t="s">
        <v>382</v>
      </c>
      <c r="F56" s="625" t="s">
        <v>8</v>
      </c>
      <c r="G56" s="566">
        <v>38841252.119999997</v>
      </c>
      <c r="H56" s="626" t="s">
        <v>564</v>
      </c>
      <c r="I56" s="567" t="s">
        <v>276</v>
      </c>
      <c r="J56" s="620" t="s">
        <v>142</v>
      </c>
      <c r="K56" s="621" t="s">
        <v>488</v>
      </c>
      <c r="L56" s="627">
        <v>638862.01</v>
      </c>
      <c r="M56" s="627">
        <f>N56+O56</f>
        <v>588414.28500000003</v>
      </c>
      <c r="N56" s="486">
        <v>588414.28500000003</v>
      </c>
      <c r="O56" s="628"/>
      <c r="P56" s="629">
        <f>M56/L56</f>
        <v>0.92103502131861004</v>
      </c>
      <c r="Q56" s="629">
        <f>M56/G56</f>
        <v>1.5149209999257873E-2</v>
      </c>
      <c r="R56" s="662" t="s">
        <v>565</v>
      </c>
      <c r="S56" s="652">
        <f t="shared" si="1"/>
        <v>7.8964978681390019E-2</v>
      </c>
      <c r="T56" s="5">
        <f t="shared" si="2"/>
        <v>50447.724999999977</v>
      </c>
    </row>
    <row r="57" spans="1:20" ht="174" customHeight="1" x14ac:dyDescent="0.25">
      <c r="A57" s="661">
        <v>22</v>
      </c>
      <c r="B57" s="620" t="s">
        <v>489</v>
      </c>
      <c r="C57" s="620" t="s">
        <v>409</v>
      </c>
      <c r="D57" s="723" t="s">
        <v>672</v>
      </c>
      <c r="E57" s="570" t="s">
        <v>410</v>
      </c>
      <c r="F57" s="625" t="s">
        <v>28</v>
      </c>
      <c r="G57" s="566">
        <v>79966739</v>
      </c>
      <c r="H57" s="630" t="s">
        <v>561</v>
      </c>
      <c r="I57" s="567" t="s">
        <v>377</v>
      </c>
      <c r="J57" s="620" t="s">
        <v>411</v>
      </c>
      <c r="K57" s="610" t="s">
        <v>490</v>
      </c>
      <c r="L57" s="627">
        <v>46844.264999999999</v>
      </c>
      <c r="M57" s="627">
        <v>46844.264999999999</v>
      </c>
      <c r="N57" s="245">
        <v>46844.27</v>
      </c>
      <c r="O57" s="628"/>
      <c r="P57" s="629">
        <f t="shared" si="0"/>
        <v>1</v>
      </c>
      <c r="Q57" s="629">
        <f>M57/G57</f>
        <v>5.857968648690301E-4</v>
      </c>
      <c r="R57" s="663" t="s">
        <v>566</v>
      </c>
      <c r="S57" s="398">
        <f t="shared" si="1"/>
        <v>0</v>
      </c>
      <c r="T57" s="405">
        <f t="shared" si="2"/>
        <v>0</v>
      </c>
    </row>
    <row r="58" spans="1:20" ht="210" customHeight="1" thickBot="1" x14ac:dyDescent="0.3">
      <c r="A58" s="656">
        <v>23</v>
      </c>
      <c r="B58" s="620" t="s">
        <v>417</v>
      </c>
      <c r="C58" s="620" t="s">
        <v>418</v>
      </c>
      <c r="D58" s="723" t="s">
        <v>666</v>
      </c>
      <c r="E58" s="570" t="s">
        <v>419</v>
      </c>
      <c r="F58" s="625" t="s">
        <v>10</v>
      </c>
      <c r="G58" s="566">
        <v>832307</v>
      </c>
      <c r="H58" s="630" t="s">
        <v>567</v>
      </c>
      <c r="I58" s="567" t="s">
        <v>276</v>
      </c>
      <c r="J58" s="620" t="s">
        <v>420</v>
      </c>
      <c r="K58" s="631" t="s">
        <v>421</v>
      </c>
      <c r="L58" s="586">
        <v>262855.24</v>
      </c>
      <c r="M58" s="586">
        <v>262855.24</v>
      </c>
      <c r="N58" s="504">
        <v>262855.24</v>
      </c>
      <c r="O58" s="598"/>
      <c r="P58" s="583">
        <f t="shared" si="0"/>
        <v>1</v>
      </c>
      <c r="Q58" s="583">
        <f>M58/G58</f>
        <v>0.31581524605704386</v>
      </c>
      <c r="R58" s="685" t="s">
        <v>636</v>
      </c>
      <c r="S58" s="398"/>
      <c r="T58" s="405"/>
    </row>
    <row r="59" spans="1:20" ht="138.75" customHeight="1" x14ac:dyDescent="0.25">
      <c r="A59" s="1113">
        <v>24</v>
      </c>
      <c r="B59" s="1083" t="s">
        <v>122</v>
      </c>
      <c r="C59" s="1083" t="s">
        <v>422</v>
      </c>
      <c r="D59" s="788" t="s">
        <v>672</v>
      </c>
      <c r="E59" s="1046" t="s">
        <v>444</v>
      </c>
      <c r="F59" s="1044" t="s">
        <v>8</v>
      </c>
      <c r="G59" s="1042">
        <v>79806000</v>
      </c>
      <c r="H59" s="1040" t="s">
        <v>122</v>
      </c>
      <c r="I59" s="1013" t="s">
        <v>276</v>
      </c>
      <c r="J59" s="584" t="s">
        <v>142</v>
      </c>
      <c r="K59" s="584" t="s">
        <v>491</v>
      </c>
      <c r="L59" s="611">
        <v>7641510.8700000001</v>
      </c>
      <c r="M59" s="611">
        <f>N59+O59</f>
        <v>3476353.75</v>
      </c>
      <c r="N59" s="500"/>
      <c r="O59" s="523">
        <f>3751084.12-274730.37</f>
        <v>3476353.75</v>
      </c>
      <c r="P59" s="583">
        <f>M59/L59</f>
        <v>0.45493015833398925</v>
      </c>
      <c r="Q59" s="583">
        <f>M59/G59</f>
        <v>4.3560055008395361E-2</v>
      </c>
      <c r="R59" s="664" t="s">
        <v>568</v>
      </c>
      <c r="S59" s="398"/>
      <c r="T59" s="405"/>
    </row>
    <row r="60" spans="1:20" ht="172.5" customHeight="1" x14ac:dyDescent="0.25">
      <c r="A60" s="1114"/>
      <c r="B60" s="1084"/>
      <c r="C60" s="1084"/>
      <c r="D60" s="790"/>
      <c r="E60" s="1100"/>
      <c r="F60" s="1099"/>
      <c r="G60" s="1098"/>
      <c r="H60" s="1086"/>
      <c r="I60" s="1033"/>
      <c r="J60" s="584" t="s">
        <v>142</v>
      </c>
      <c r="K60" s="584" t="s">
        <v>478</v>
      </c>
      <c r="L60" s="586">
        <v>274730.37</v>
      </c>
      <c r="M60" s="586">
        <f>N60+O60</f>
        <v>274730.37</v>
      </c>
      <c r="N60" s="522"/>
      <c r="O60" s="524">
        <v>274730.37</v>
      </c>
      <c r="P60" s="583">
        <f>M60/L60</f>
        <v>1</v>
      </c>
      <c r="Q60" s="583">
        <f>M60/G59</f>
        <v>3.4424776332606572E-3</v>
      </c>
      <c r="R60" s="665" t="s">
        <v>556</v>
      </c>
      <c r="S60" s="398"/>
      <c r="T60" s="405"/>
    </row>
    <row r="61" spans="1:20" ht="81" customHeight="1" x14ac:dyDescent="0.25">
      <c r="A61" s="1114"/>
      <c r="B61" s="1084"/>
      <c r="C61" s="1084"/>
      <c r="D61" s="790"/>
      <c r="E61" s="1100"/>
      <c r="F61" s="1099"/>
      <c r="G61" s="1098"/>
      <c r="H61" s="1086"/>
      <c r="I61" s="1033"/>
      <c r="J61" s="584" t="s">
        <v>152</v>
      </c>
      <c r="K61" s="686" t="s">
        <v>637</v>
      </c>
      <c r="L61" s="611">
        <v>0</v>
      </c>
      <c r="M61" s="611">
        <v>0</v>
      </c>
      <c r="N61" s="500">
        <v>0</v>
      </c>
      <c r="O61" s="501">
        <v>0</v>
      </c>
      <c r="P61" s="583"/>
      <c r="Q61" s="583"/>
      <c r="R61" s="664" t="s">
        <v>569</v>
      </c>
      <c r="S61" s="398"/>
      <c r="T61" s="405"/>
    </row>
    <row r="62" spans="1:20" ht="409.5" customHeight="1" x14ac:dyDescent="0.25">
      <c r="A62" s="1114"/>
      <c r="B62" s="1084"/>
      <c r="C62" s="1084"/>
      <c r="D62" s="790"/>
      <c r="E62" s="1100"/>
      <c r="F62" s="1099"/>
      <c r="G62" s="1098"/>
      <c r="H62" s="1086"/>
      <c r="I62" s="1033"/>
      <c r="J62" s="584" t="s">
        <v>152</v>
      </c>
      <c r="K62" s="584" t="s">
        <v>481</v>
      </c>
      <c r="L62" s="611">
        <v>60000</v>
      </c>
      <c r="M62" s="611">
        <f>N62+O62</f>
        <v>60000</v>
      </c>
      <c r="N62" s="537">
        <v>60000</v>
      </c>
      <c r="O62" s="501"/>
      <c r="P62" s="583">
        <f>M62/L62</f>
        <v>1</v>
      </c>
      <c r="Q62" s="583">
        <f>M62/G59</f>
        <v>7.5182317119013606E-4</v>
      </c>
      <c r="R62" s="746" t="s">
        <v>708</v>
      </c>
      <c r="S62" s="398"/>
      <c r="T62" s="405"/>
    </row>
    <row r="63" spans="1:20" ht="403.5" customHeight="1" x14ac:dyDescent="0.25">
      <c r="A63" s="1114"/>
      <c r="B63" s="1084"/>
      <c r="C63" s="1084"/>
      <c r="D63" s="790"/>
      <c r="E63" s="1100"/>
      <c r="F63" s="1099"/>
      <c r="G63" s="1098"/>
      <c r="H63" s="1086"/>
      <c r="I63" s="1033"/>
      <c r="J63" s="584" t="s">
        <v>152</v>
      </c>
      <c r="K63" s="584" t="s">
        <v>502</v>
      </c>
      <c r="L63" s="611">
        <v>100000</v>
      </c>
      <c r="M63" s="611">
        <f t="shared" ref="M63:M64" si="6">N63+O63</f>
        <v>100000</v>
      </c>
      <c r="N63" s="537">
        <v>100000</v>
      </c>
      <c r="O63" s="501"/>
      <c r="P63" s="583">
        <f t="shared" ref="P63:P64" si="7">M63/L63</f>
        <v>1</v>
      </c>
      <c r="Q63" s="583">
        <f>M63/G59</f>
        <v>1.2530386186502269E-3</v>
      </c>
      <c r="R63" s="746" t="s">
        <v>710</v>
      </c>
      <c r="S63" s="398"/>
      <c r="T63" s="405"/>
    </row>
    <row r="64" spans="1:20" ht="406.5" customHeight="1" x14ac:dyDescent="0.25">
      <c r="A64" s="1115"/>
      <c r="B64" s="1085"/>
      <c r="C64" s="1085"/>
      <c r="D64" s="789"/>
      <c r="E64" s="1047"/>
      <c r="F64" s="1045"/>
      <c r="G64" s="1043"/>
      <c r="H64" s="1041"/>
      <c r="I64" s="1014"/>
      <c r="J64" s="584" t="s">
        <v>152</v>
      </c>
      <c r="K64" s="584" t="s">
        <v>503</v>
      </c>
      <c r="L64" s="611">
        <v>10000</v>
      </c>
      <c r="M64" s="611">
        <f t="shared" si="6"/>
        <v>10000</v>
      </c>
      <c r="N64" s="537">
        <v>10000</v>
      </c>
      <c r="O64" s="501"/>
      <c r="P64" s="583">
        <f t="shared" si="7"/>
        <v>1</v>
      </c>
      <c r="Q64" s="583">
        <f>M64/G59</f>
        <v>1.2530386186502269E-4</v>
      </c>
      <c r="R64" s="746" t="s">
        <v>709</v>
      </c>
      <c r="S64" s="398"/>
      <c r="T64" s="405"/>
    </row>
    <row r="65" spans="1:20" ht="184.5" customHeight="1" x14ac:dyDescent="0.25">
      <c r="A65" s="666">
        <v>25</v>
      </c>
      <c r="B65" s="584" t="s">
        <v>69</v>
      </c>
      <c r="C65" s="584" t="s">
        <v>435</v>
      </c>
      <c r="D65" s="722" t="s">
        <v>664</v>
      </c>
      <c r="E65" s="237" t="s">
        <v>443</v>
      </c>
      <c r="F65" s="589" t="s">
        <v>68</v>
      </c>
      <c r="G65" s="445" t="s">
        <v>442</v>
      </c>
      <c r="H65" s="605" t="s">
        <v>69</v>
      </c>
      <c r="I65" s="568" t="s">
        <v>436</v>
      </c>
      <c r="J65" s="731" t="s">
        <v>411</v>
      </c>
      <c r="K65" s="584" t="s">
        <v>437</v>
      </c>
      <c r="L65" s="632">
        <v>1288295.8999999999</v>
      </c>
      <c r="M65" s="632">
        <v>1288295.8999999999</v>
      </c>
      <c r="N65" s="537">
        <v>1288295.8999999999</v>
      </c>
      <c r="O65" s="525"/>
      <c r="P65" s="633">
        <f t="shared" si="0"/>
        <v>1</v>
      </c>
      <c r="Q65" s="633">
        <f>M65/14016475</f>
        <v>9.1912973839713613E-2</v>
      </c>
      <c r="R65" s="667" t="s">
        <v>570</v>
      </c>
      <c r="S65" s="398"/>
      <c r="T65" s="405"/>
    </row>
    <row r="66" spans="1:20" ht="184.5" customHeight="1" thickBot="1" x14ac:dyDescent="0.3">
      <c r="A66" s="689">
        <v>26</v>
      </c>
      <c r="B66" s="694" t="s">
        <v>206</v>
      </c>
      <c r="C66" s="694" t="s">
        <v>647</v>
      </c>
      <c r="D66" s="722" t="s">
        <v>666</v>
      </c>
      <c r="E66" s="237" t="s">
        <v>683</v>
      </c>
      <c r="F66" s="729" t="s">
        <v>68</v>
      </c>
      <c r="G66" s="445">
        <v>6979266.3099999996</v>
      </c>
      <c r="H66" s="605" t="s">
        <v>206</v>
      </c>
      <c r="I66" s="688" t="s">
        <v>684</v>
      </c>
      <c r="J66" s="731" t="s">
        <v>411</v>
      </c>
      <c r="K66" s="730" t="s">
        <v>682</v>
      </c>
      <c r="L66" s="690">
        <v>581901</v>
      </c>
      <c r="M66" s="690">
        <f>N66+O66</f>
        <v>581901</v>
      </c>
      <c r="N66" s="691">
        <v>581901</v>
      </c>
      <c r="O66" s="692"/>
      <c r="P66" s="633">
        <f t="shared" ref="P66" si="8">M66/L66</f>
        <v>1</v>
      </c>
      <c r="Q66" s="633">
        <f>M66/G66</f>
        <v>8.3375669325906551E-2</v>
      </c>
      <c r="R66" s="728" t="s">
        <v>681</v>
      </c>
      <c r="S66" s="398"/>
      <c r="T66" s="405"/>
    </row>
    <row r="67" spans="1:20" ht="28.5" customHeight="1" thickBot="1" x14ac:dyDescent="0.3">
      <c r="A67" s="668"/>
      <c r="B67" s="414" t="s">
        <v>129</v>
      </c>
      <c r="C67" s="529"/>
      <c r="D67" s="529"/>
      <c r="E67" s="634"/>
      <c r="F67" s="635"/>
      <c r="G67" s="415">
        <f>SUM(G5:G65)</f>
        <v>3543065218.9099998</v>
      </c>
      <c r="H67" s="636"/>
      <c r="I67" s="637"/>
      <c r="J67" s="637"/>
      <c r="K67" s="638"/>
      <c r="L67" s="429">
        <f>SUM(L5:L66)</f>
        <v>894712980.08450007</v>
      </c>
      <c r="M67" s="430">
        <f>SUM(M5:M66)</f>
        <v>314227325.27399987</v>
      </c>
      <c r="N67" s="481">
        <f>SUM(N5:N66)+33160392+1.39</f>
        <v>334234235.98399991</v>
      </c>
      <c r="O67" s="431">
        <f>SUM(O5:O65)</f>
        <v>13153482.684999999</v>
      </c>
      <c r="P67" s="432">
        <f>M67/L67</f>
        <v>0.35120461228172084</v>
      </c>
      <c r="Q67" s="416">
        <f>M67/G67</f>
        <v>8.8687987902935014E-2</v>
      </c>
      <c r="R67" s="693" t="s">
        <v>211</v>
      </c>
      <c r="S67" s="250">
        <f>T67/L67</f>
        <v>0.64879538771827905</v>
      </c>
      <c r="T67" s="380">
        <f>L67-M67</f>
        <v>580485654.81050014</v>
      </c>
    </row>
    <row r="68" spans="1:20" ht="30" customHeight="1" x14ac:dyDescent="0.25">
      <c r="A68" s="669"/>
      <c r="B68" s="313" t="s">
        <v>157</v>
      </c>
      <c r="C68" s="1052" t="s">
        <v>226</v>
      </c>
      <c r="D68" s="1052"/>
      <c r="E68" s="1052"/>
      <c r="F68" s="1052"/>
      <c r="G68" s="534"/>
      <c r="H68" s="639"/>
      <c r="I68" s="248"/>
      <c r="J68" s="248"/>
      <c r="K68" s="249"/>
      <c r="L68" s="222" t="s">
        <v>211</v>
      </c>
      <c r="M68" s="222" t="s">
        <v>211</v>
      </c>
      <c r="N68" s="223">
        <f>N67-N69</f>
        <v>203534107.66399992</v>
      </c>
      <c r="O68" s="224" t="s">
        <v>211</v>
      </c>
      <c r="P68" s="222" t="s">
        <v>211</v>
      </c>
      <c r="Q68" s="247" t="s">
        <v>211</v>
      </c>
      <c r="R68" s="641" t="s">
        <v>211</v>
      </c>
      <c r="S68" s="653" t="s">
        <v>211</v>
      </c>
      <c r="T68" s="640" t="s">
        <v>211</v>
      </c>
    </row>
    <row r="69" spans="1:20" ht="30.75" customHeight="1" thickBot="1" x14ac:dyDescent="0.3">
      <c r="A69" s="670"/>
      <c r="B69" s="671" t="s">
        <v>157</v>
      </c>
      <c r="C69" s="1034" t="s">
        <v>330</v>
      </c>
      <c r="D69" s="1034"/>
      <c r="E69" s="1034"/>
      <c r="F69" s="1034"/>
      <c r="G69" s="1034"/>
      <c r="H69" s="1034"/>
      <c r="I69" s="1034"/>
      <c r="J69" s="1034"/>
      <c r="K69" s="1035"/>
      <c r="L69" s="672" t="s">
        <v>211</v>
      </c>
      <c r="M69" s="672" t="s">
        <v>211</v>
      </c>
      <c r="N69" s="673">
        <f>N5+N8+N14+N12+N26+N33</f>
        <v>130700128.32000001</v>
      </c>
      <c r="O69" s="674">
        <f>O67</f>
        <v>13153482.684999999</v>
      </c>
      <c r="P69" s="675" t="s">
        <v>211</v>
      </c>
      <c r="Q69" s="676" t="s">
        <v>211</v>
      </c>
      <c r="R69" s="677" t="s">
        <v>211</v>
      </c>
      <c r="S69" s="654" t="s">
        <v>211</v>
      </c>
      <c r="T69" s="642" t="s">
        <v>211</v>
      </c>
    </row>
    <row r="70" spans="1:20" x14ac:dyDescent="0.25">
      <c r="A70" s="17"/>
      <c r="B70" s="148"/>
      <c r="C70" s="530"/>
      <c r="D70" s="530"/>
      <c r="E70" s="532"/>
      <c r="F70" s="532"/>
      <c r="G70" s="535"/>
      <c r="H70" s="643"/>
      <c r="I70" s="19"/>
      <c r="J70" s="19"/>
      <c r="K70" s="19"/>
      <c r="L70" s="19"/>
      <c r="M70" s="19"/>
      <c r="N70" s="20"/>
      <c r="O70" s="21"/>
      <c r="P70" s="21"/>
      <c r="Q70" s="21"/>
    </row>
    <row r="71" spans="1:20" x14ac:dyDescent="0.25">
      <c r="A71" s="22"/>
      <c r="B71" s="482" t="s">
        <v>456</v>
      </c>
      <c r="C71" s="530"/>
      <c r="D71" s="530"/>
      <c r="L71" s="645"/>
      <c r="M71" s="645"/>
      <c r="N71" s="646"/>
      <c r="O71" s="71"/>
      <c r="P71" s="173"/>
      <c r="Q71" s="173"/>
    </row>
    <row r="72" spans="1:20" ht="52.5" customHeight="1" x14ac:dyDescent="0.25">
      <c r="A72" s="17"/>
      <c r="B72" s="768" t="s">
        <v>688</v>
      </c>
      <c r="C72" s="768"/>
      <c r="D72" s="768"/>
      <c r="E72" s="768"/>
      <c r="F72" s="768"/>
      <c r="G72" s="768"/>
      <c r="H72" s="768"/>
      <c r="I72" s="768"/>
      <c r="J72" s="19"/>
      <c r="K72" s="19"/>
      <c r="L72" s="253"/>
      <c r="M72" s="253"/>
      <c r="N72" s="21"/>
      <c r="O72" s="21"/>
      <c r="P72" s="21"/>
      <c r="Q72" s="21"/>
    </row>
    <row r="73" spans="1:20" x14ac:dyDescent="0.25">
      <c r="A73" s="17"/>
      <c r="B73" s="1036" t="s">
        <v>689</v>
      </c>
      <c r="C73" s="1036"/>
      <c r="D73" s="1036"/>
      <c r="E73" s="1036"/>
      <c r="F73" s="1036"/>
      <c r="G73" s="1036"/>
      <c r="H73" s="1036"/>
      <c r="I73" s="1036"/>
      <c r="J73" s="19"/>
      <c r="K73" s="19"/>
      <c r="L73" s="19"/>
      <c r="M73" s="19"/>
      <c r="N73" s="21"/>
      <c r="O73" s="21"/>
      <c r="P73" s="21"/>
      <c r="Q73" s="21"/>
    </row>
    <row r="74" spans="1:20" x14ac:dyDescent="0.25">
      <c r="A74" s="17"/>
      <c r="B74" s="24"/>
      <c r="C74" s="58"/>
      <c r="D74" s="58"/>
      <c r="E74" s="532"/>
      <c r="F74" s="532"/>
      <c r="G74" s="535"/>
      <c r="H74" s="643"/>
      <c r="I74" s="19"/>
      <c r="J74" s="19"/>
      <c r="K74" s="19"/>
      <c r="L74" s="19"/>
      <c r="M74" s="19"/>
      <c r="N74" s="21"/>
      <c r="O74" s="21"/>
      <c r="P74" s="21"/>
      <c r="Q74" s="21"/>
    </row>
    <row r="75" spans="1:20" x14ac:dyDescent="0.25">
      <c r="A75" s="17"/>
      <c r="B75" s="24"/>
      <c r="C75" s="58"/>
      <c r="D75" s="58"/>
      <c r="E75" s="532"/>
      <c r="F75" s="532"/>
      <c r="G75" s="535"/>
      <c r="H75" s="643"/>
      <c r="I75" s="19"/>
      <c r="J75" s="19"/>
      <c r="K75" s="19"/>
      <c r="L75" s="19"/>
      <c r="M75" s="19"/>
      <c r="N75" s="21"/>
      <c r="O75" s="21"/>
      <c r="P75" s="21"/>
      <c r="Q75" s="21"/>
    </row>
    <row r="76" spans="1:20" x14ac:dyDescent="0.25">
      <c r="A76" s="17"/>
      <c r="B76" s="24"/>
      <c r="C76" s="58"/>
      <c r="D76" s="58"/>
      <c r="E76" s="532"/>
      <c r="F76" s="532"/>
      <c r="G76" s="535"/>
      <c r="H76" s="643"/>
      <c r="I76" s="19"/>
      <c r="J76" s="19"/>
      <c r="K76" s="19"/>
      <c r="L76" s="19"/>
      <c r="M76" s="19"/>
      <c r="N76" s="21"/>
      <c r="O76" s="21"/>
      <c r="P76" s="21"/>
      <c r="Q76" s="21"/>
    </row>
    <row r="77" spans="1:20" x14ac:dyDescent="0.25">
      <c r="A77" s="17"/>
      <c r="B77" s="149"/>
      <c r="C77" s="58"/>
      <c r="D77" s="58"/>
      <c r="I77" s="23"/>
      <c r="J77" s="23"/>
      <c r="K77" s="23"/>
      <c r="L77" s="472"/>
      <c r="M77" s="472"/>
      <c r="N77" s="472"/>
      <c r="O77" s="472"/>
      <c r="P77" s="472"/>
      <c r="Q77" s="472"/>
    </row>
    <row r="78" spans="1:20" x14ac:dyDescent="0.25">
      <c r="A78" s="17"/>
      <c r="B78" s="149"/>
      <c r="C78" s="531"/>
      <c r="D78" s="531"/>
      <c r="I78" s="23"/>
      <c r="J78" s="23"/>
      <c r="K78" s="23"/>
      <c r="L78" s="472"/>
      <c r="M78" s="472"/>
      <c r="N78" s="472"/>
      <c r="O78" s="472"/>
      <c r="P78" s="472"/>
      <c r="Q78" s="472"/>
    </row>
    <row r="79" spans="1:20" x14ac:dyDescent="0.25">
      <c r="A79" s="17"/>
      <c r="B79" s="149"/>
      <c r="C79" s="531"/>
      <c r="D79" s="531"/>
      <c r="I79" s="23"/>
      <c r="J79" s="23"/>
      <c r="K79" s="23"/>
      <c r="L79" s="472"/>
      <c r="M79" s="472"/>
      <c r="N79" s="472"/>
      <c r="O79" s="472"/>
      <c r="P79" s="472"/>
      <c r="Q79" s="472"/>
    </row>
    <row r="80" spans="1:20" x14ac:dyDescent="0.25">
      <c r="A80" s="17"/>
      <c r="B80" s="149"/>
      <c r="C80" s="531"/>
      <c r="D80" s="531"/>
      <c r="I80" s="23"/>
      <c r="J80" s="23"/>
      <c r="K80" s="23"/>
      <c r="L80" s="472"/>
      <c r="M80" s="472"/>
      <c r="N80" s="472"/>
      <c r="O80" s="472"/>
      <c r="P80" s="472"/>
      <c r="Q80" s="472"/>
    </row>
    <row r="81" spans="1:17" x14ac:dyDescent="0.25">
      <c r="A81" s="17"/>
      <c r="B81" s="149"/>
      <c r="C81" s="531"/>
      <c r="D81" s="531"/>
      <c r="I81" s="23"/>
      <c r="J81" s="23"/>
      <c r="K81" s="23"/>
      <c r="L81" s="472"/>
      <c r="M81" s="472"/>
      <c r="N81" s="472"/>
      <c r="O81" s="472"/>
      <c r="P81" s="9"/>
      <c r="Q81" s="9"/>
    </row>
    <row r="82" spans="1:17" x14ac:dyDescent="0.25">
      <c r="A82" s="17"/>
      <c r="I82" s="23"/>
      <c r="J82" s="23"/>
      <c r="K82" s="23"/>
      <c r="L82" s="472"/>
      <c r="M82" s="472"/>
      <c r="N82" s="472"/>
      <c r="O82" s="472"/>
      <c r="P82" s="9"/>
      <c r="Q82" s="9"/>
    </row>
    <row r="83" spans="1:17" x14ac:dyDescent="0.25">
      <c r="A83" s="17"/>
      <c r="I83" s="23"/>
      <c r="J83" s="23"/>
      <c r="K83" s="23"/>
      <c r="L83" s="472"/>
      <c r="M83" s="472"/>
      <c r="N83" s="472"/>
      <c r="O83" s="472"/>
      <c r="P83" s="9"/>
      <c r="Q83" s="9"/>
    </row>
    <row r="84" spans="1:17" x14ac:dyDescent="0.25">
      <c r="A84" s="17"/>
      <c r="I84" s="23"/>
      <c r="J84" s="23"/>
      <c r="K84" s="23"/>
      <c r="L84" s="23"/>
      <c r="M84" s="23"/>
      <c r="N84" s="9"/>
      <c r="O84" s="9"/>
      <c r="P84" s="9"/>
      <c r="Q84" s="9"/>
    </row>
    <row r="85" spans="1:17" x14ac:dyDescent="0.25">
      <c r="A85" s="17"/>
      <c r="I85" s="23"/>
      <c r="J85" s="23"/>
      <c r="K85" s="23"/>
      <c r="L85" s="23"/>
      <c r="M85" s="23"/>
      <c r="N85" s="9"/>
      <c r="O85" s="9"/>
      <c r="P85" s="9"/>
      <c r="Q85" s="9"/>
    </row>
    <row r="86" spans="1:17" x14ac:dyDescent="0.25">
      <c r="A86" s="17"/>
      <c r="I86" s="23"/>
      <c r="J86" s="23"/>
      <c r="K86" s="23"/>
      <c r="L86" s="23"/>
      <c r="M86" s="23"/>
      <c r="N86" s="9"/>
      <c r="O86" s="9"/>
      <c r="P86" s="9"/>
      <c r="Q86" s="9"/>
    </row>
    <row r="87" spans="1:17" x14ac:dyDescent="0.25">
      <c r="A87" s="17"/>
      <c r="I87" s="23"/>
      <c r="J87" s="23"/>
      <c r="K87" s="23"/>
      <c r="L87" s="23"/>
      <c r="M87" s="23"/>
      <c r="N87" s="9"/>
      <c r="O87" s="9"/>
      <c r="P87" s="9"/>
      <c r="Q87" s="9"/>
    </row>
    <row r="88" spans="1:17" x14ac:dyDescent="0.25">
      <c r="A88" s="17"/>
      <c r="I88" s="23"/>
      <c r="J88" s="23"/>
      <c r="K88" s="23"/>
      <c r="L88" s="23"/>
      <c r="M88" s="23"/>
      <c r="N88" s="9"/>
      <c r="O88" s="9"/>
      <c r="P88" s="9"/>
      <c r="Q88" s="9"/>
    </row>
    <row r="89" spans="1:17" x14ac:dyDescent="0.25">
      <c r="A89" s="17"/>
      <c r="I89" s="23"/>
      <c r="J89" s="23"/>
      <c r="K89" s="23"/>
      <c r="L89" s="23"/>
      <c r="M89" s="23"/>
      <c r="N89" s="9"/>
      <c r="O89" s="9"/>
      <c r="P89" s="9"/>
      <c r="Q89" s="9"/>
    </row>
    <row r="90" spans="1:17" x14ac:dyDescent="0.25">
      <c r="A90" s="17"/>
      <c r="I90" s="23"/>
      <c r="J90" s="23"/>
      <c r="K90" s="23"/>
      <c r="L90" s="23"/>
      <c r="M90" s="23"/>
      <c r="N90" s="9"/>
      <c r="O90" s="9"/>
      <c r="P90" s="9"/>
      <c r="Q90" s="9"/>
    </row>
    <row r="91" spans="1:17" x14ac:dyDescent="0.25">
      <c r="A91" s="17"/>
      <c r="I91" s="23"/>
      <c r="J91" s="23"/>
      <c r="K91" s="23"/>
      <c r="L91" s="23"/>
      <c r="M91" s="23"/>
      <c r="N91" s="9"/>
      <c r="O91" s="9"/>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9"/>
      <c r="I112" s="23"/>
      <c r="J112" s="23"/>
      <c r="K112" s="23"/>
      <c r="L112" s="23"/>
      <c r="M112" s="23"/>
      <c r="N112" s="9"/>
      <c r="O112" s="9"/>
      <c r="P112" s="9"/>
      <c r="Q112" s="9"/>
    </row>
    <row r="113" spans="1:17" x14ac:dyDescent="0.25">
      <c r="A113" s="19"/>
      <c r="I113" s="23"/>
      <c r="J113" s="23"/>
      <c r="K113" s="23"/>
      <c r="L113" s="23"/>
      <c r="M113" s="23"/>
      <c r="N113" s="9"/>
      <c r="O113" s="9"/>
      <c r="P113" s="9"/>
      <c r="Q113" s="9"/>
    </row>
    <row r="114" spans="1:17" x14ac:dyDescent="0.25">
      <c r="A114" s="19"/>
      <c r="I114" s="23"/>
      <c r="J114" s="23"/>
      <c r="K114" s="23"/>
      <c r="L114" s="23"/>
      <c r="M114" s="23"/>
      <c r="N114" s="9"/>
      <c r="O114" s="9"/>
      <c r="P114" s="9"/>
      <c r="Q114" s="9"/>
    </row>
    <row r="115" spans="1:17" x14ac:dyDescent="0.25">
      <c r="A115" s="19"/>
      <c r="I115" s="23"/>
      <c r="J115" s="23"/>
      <c r="K115" s="23"/>
      <c r="L115" s="23"/>
      <c r="M115" s="23"/>
      <c r="N115" s="9"/>
      <c r="O115" s="9"/>
      <c r="P115" s="9"/>
      <c r="Q115" s="9"/>
    </row>
    <row r="116" spans="1:17" x14ac:dyDescent="0.25">
      <c r="I116" s="23"/>
      <c r="J116" s="23"/>
      <c r="K116" s="23"/>
      <c r="L116" s="23"/>
      <c r="M116" s="23"/>
      <c r="N116" s="9"/>
      <c r="O116" s="9"/>
      <c r="P116" s="9"/>
      <c r="Q116" s="9"/>
    </row>
    <row r="117" spans="1:17" x14ac:dyDescent="0.25">
      <c r="I117" s="23"/>
      <c r="J117" s="23"/>
      <c r="K117" s="23"/>
      <c r="L117" s="23"/>
      <c r="M117" s="23"/>
      <c r="N117" s="9"/>
      <c r="O117" s="9"/>
      <c r="P117" s="9"/>
      <c r="Q117" s="9"/>
    </row>
    <row r="118" spans="1:17" x14ac:dyDescent="0.25">
      <c r="I118" s="23"/>
      <c r="J118" s="23"/>
      <c r="K118" s="23"/>
      <c r="L118" s="23"/>
      <c r="M118" s="23"/>
      <c r="N118" s="9"/>
      <c r="O118" s="9"/>
      <c r="P118" s="9"/>
      <c r="Q118" s="9"/>
    </row>
    <row r="119" spans="1:17" x14ac:dyDescent="0.25">
      <c r="I119" s="23"/>
      <c r="J119" s="23"/>
      <c r="K119" s="23"/>
      <c r="L119" s="23"/>
      <c r="M119" s="23"/>
      <c r="N119" s="9"/>
      <c r="O119" s="9"/>
      <c r="P119" s="9"/>
      <c r="Q119" s="9"/>
    </row>
    <row r="120" spans="1:17" x14ac:dyDescent="0.25">
      <c r="I120" s="23"/>
      <c r="J120" s="23"/>
      <c r="K120" s="23"/>
      <c r="L120" s="23"/>
      <c r="M120" s="23"/>
      <c r="N120" s="9"/>
      <c r="O120" s="9"/>
      <c r="P120" s="9"/>
      <c r="Q120" s="9"/>
    </row>
    <row r="121" spans="1:17" x14ac:dyDescent="0.25">
      <c r="I121" s="23"/>
      <c r="J121" s="23"/>
      <c r="K121" s="23"/>
      <c r="L121" s="23"/>
      <c r="M121" s="23"/>
      <c r="N121" s="9"/>
      <c r="O121" s="9"/>
      <c r="P121" s="9"/>
      <c r="Q121" s="9"/>
    </row>
    <row r="122" spans="1:17" x14ac:dyDescent="0.25">
      <c r="I122" s="23"/>
      <c r="J122" s="23"/>
      <c r="K122" s="23"/>
      <c r="L122" s="23"/>
      <c r="M122" s="23"/>
      <c r="N122" s="9"/>
      <c r="O122" s="9"/>
      <c r="P122" s="9"/>
      <c r="Q122" s="9"/>
    </row>
    <row r="123" spans="1:17" x14ac:dyDescent="0.25">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row>
    <row r="127" spans="1:17" x14ac:dyDescent="0.25">
      <c r="I127" s="23"/>
      <c r="J127" s="23"/>
      <c r="K127" s="23"/>
      <c r="L127" s="23"/>
      <c r="M127" s="23"/>
    </row>
    <row r="128" spans="1:17" x14ac:dyDescent="0.25">
      <c r="I128" s="23"/>
      <c r="J128" s="23"/>
      <c r="K128" s="23"/>
      <c r="L128" s="23"/>
      <c r="M128" s="23"/>
    </row>
    <row r="129" spans="9:13" x14ac:dyDescent="0.25">
      <c r="I129" s="23"/>
      <c r="J129" s="23"/>
      <c r="K129" s="23"/>
      <c r="L129" s="23"/>
      <c r="M129" s="23"/>
    </row>
    <row r="130" spans="9:13" x14ac:dyDescent="0.25">
      <c r="I130" s="23"/>
      <c r="J130" s="23"/>
      <c r="K130" s="23"/>
      <c r="L130" s="23"/>
      <c r="M130" s="23"/>
    </row>
    <row r="131" spans="9:13" x14ac:dyDescent="0.25">
      <c r="I131" s="23"/>
      <c r="J131" s="23"/>
      <c r="K131" s="23"/>
      <c r="L131" s="23"/>
      <c r="M131" s="23"/>
    </row>
    <row r="132" spans="9:13" x14ac:dyDescent="0.25">
      <c r="I132" s="23"/>
      <c r="J132" s="23"/>
      <c r="K132" s="23"/>
      <c r="L132" s="23"/>
      <c r="M132" s="23"/>
    </row>
  </sheetData>
  <mergeCells count="213">
    <mergeCell ref="A59:A64"/>
    <mergeCell ref="B59:B64"/>
    <mergeCell ref="C59:C64"/>
    <mergeCell ref="E59:E64"/>
    <mergeCell ref="F59:F64"/>
    <mergeCell ref="G59:G64"/>
    <mergeCell ref="H59:H64"/>
    <mergeCell ref="B40:B41"/>
    <mergeCell ref="A54:A55"/>
    <mergeCell ref="B54:B55"/>
    <mergeCell ref="E54:E55"/>
    <mergeCell ref="C54:C55"/>
    <mergeCell ref="F47:F50"/>
    <mergeCell ref="H47:H50"/>
    <mergeCell ref="A47:A50"/>
    <mergeCell ref="B47:B50"/>
    <mergeCell ref="A52:A53"/>
    <mergeCell ref="B42:B46"/>
    <mergeCell ref="A42:A46"/>
    <mergeCell ref="C42:C46"/>
    <mergeCell ref="E47:E50"/>
    <mergeCell ref="G47:G50"/>
    <mergeCell ref="C47:C50"/>
    <mergeCell ref="A40:A41"/>
    <mergeCell ref="H21:H22"/>
    <mergeCell ref="G21:G22"/>
    <mergeCell ref="F21:F22"/>
    <mergeCell ref="G31:G33"/>
    <mergeCell ref="F31:F33"/>
    <mergeCell ref="E31:E33"/>
    <mergeCell ref="C31:C33"/>
    <mergeCell ref="B31:B33"/>
    <mergeCell ref="A31:A33"/>
    <mergeCell ref="H31:H33"/>
    <mergeCell ref="A25:A28"/>
    <mergeCell ref="B25:B28"/>
    <mergeCell ref="A29:A30"/>
    <mergeCell ref="B29:B30"/>
    <mergeCell ref="F25:F28"/>
    <mergeCell ref="A2:A3"/>
    <mergeCell ref="C37:C39"/>
    <mergeCell ref="I2:I3"/>
    <mergeCell ref="B2:B3"/>
    <mergeCell ref="B5:B7"/>
    <mergeCell ref="C5:C7"/>
    <mergeCell ref="G5:G7"/>
    <mergeCell ref="A5:A7"/>
    <mergeCell ref="A14:A15"/>
    <mergeCell ref="A23:A24"/>
    <mergeCell ref="A37:A39"/>
    <mergeCell ref="B37:B39"/>
    <mergeCell ref="H23:H24"/>
    <mergeCell ref="G14:G15"/>
    <mergeCell ref="F35:F36"/>
    <mergeCell ref="C2:C3"/>
    <mergeCell ref="H5:H7"/>
    <mergeCell ref="F2:F3"/>
    <mergeCell ref="B9:B13"/>
    <mergeCell ref="A9:A13"/>
    <mergeCell ref="A35:A36"/>
    <mergeCell ref="F5:F7"/>
    <mergeCell ref="B21:B22"/>
    <mergeCell ref="A21:A22"/>
    <mergeCell ref="F14:F15"/>
    <mergeCell ref="C29:C30"/>
    <mergeCell ref="B14:B15"/>
    <mergeCell ref="C25:C28"/>
    <mergeCell ref="E29:E30"/>
    <mergeCell ref="E25:E28"/>
    <mergeCell ref="A16:A18"/>
    <mergeCell ref="B19:B20"/>
    <mergeCell ref="A19:A20"/>
    <mergeCell ref="B23:B24"/>
    <mergeCell ref="B16:B18"/>
    <mergeCell ref="F19:F20"/>
    <mergeCell ref="E19:E20"/>
    <mergeCell ref="D23:D24"/>
    <mergeCell ref="D25:D28"/>
    <mergeCell ref="D29:D30"/>
    <mergeCell ref="F29:F30"/>
    <mergeCell ref="E23:E24"/>
    <mergeCell ref="F23:F24"/>
    <mergeCell ref="C9:C13"/>
    <mergeCell ref="I14:I15"/>
    <mergeCell ref="F42:F46"/>
    <mergeCell ref="E42:E46"/>
    <mergeCell ref="C19:C20"/>
    <mergeCell ref="C35:C36"/>
    <mergeCell ref="C23:C24"/>
    <mergeCell ref="C16:C18"/>
    <mergeCell ref="G40:G41"/>
    <mergeCell ref="H40:H41"/>
    <mergeCell ref="G35:G36"/>
    <mergeCell ref="E35:E36"/>
    <mergeCell ref="E21:E22"/>
    <mergeCell ref="C21:C22"/>
    <mergeCell ref="H25:H28"/>
    <mergeCell ref="H29:H30"/>
    <mergeCell ref="E14:E15"/>
    <mergeCell ref="H9:H13"/>
    <mergeCell ref="G9:G13"/>
    <mergeCell ref="F9:F13"/>
    <mergeCell ref="E9:E13"/>
    <mergeCell ref="H35:H36"/>
    <mergeCell ref="C14:C15"/>
    <mergeCell ref="C40:C41"/>
    <mergeCell ref="Q14:Q15"/>
    <mergeCell ref="I16:I18"/>
    <mergeCell ref="I19:I20"/>
    <mergeCell ref="E37:E39"/>
    <mergeCell ref="E40:E41"/>
    <mergeCell ref="H42:H46"/>
    <mergeCell ref="G42:G46"/>
    <mergeCell ref="H14:H15"/>
    <mergeCell ref="H37:H39"/>
    <mergeCell ref="G37:G39"/>
    <mergeCell ref="F40:F41"/>
    <mergeCell ref="G29:G30"/>
    <mergeCell ref="K42:K44"/>
    <mergeCell ref="L42:L44"/>
    <mergeCell ref="N42:N44"/>
    <mergeCell ref="M42:M44"/>
    <mergeCell ref="O42:O44"/>
    <mergeCell ref="P42:P44"/>
    <mergeCell ref="H16:H18"/>
    <mergeCell ref="G16:G18"/>
    <mergeCell ref="F16:F18"/>
    <mergeCell ref="E16:E18"/>
    <mergeCell ref="H19:H20"/>
    <mergeCell ref="G19:G20"/>
    <mergeCell ref="R2:R3"/>
    <mergeCell ref="S2:T2"/>
    <mergeCell ref="I5:I7"/>
    <mergeCell ref="Q5:Q7"/>
    <mergeCell ref="I9:I13"/>
    <mergeCell ref="J9:J10"/>
    <mergeCell ref="K9:K11"/>
    <mergeCell ref="M9:M10"/>
    <mergeCell ref="P9:P10"/>
    <mergeCell ref="Q9:Q13"/>
    <mergeCell ref="R9:R10"/>
    <mergeCell ref="J2:J3"/>
    <mergeCell ref="Q2:Q3"/>
    <mergeCell ref="K2:K3"/>
    <mergeCell ref="P2:P3"/>
    <mergeCell ref="L9:L10"/>
    <mergeCell ref="L2:L3"/>
    <mergeCell ref="M2:O2"/>
    <mergeCell ref="O9:O10"/>
    <mergeCell ref="R42:R44"/>
    <mergeCell ref="I47:I50"/>
    <mergeCell ref="K47:K50"/>
    <mergeCell ref="Q47:Q50"/>
    <mergeCell ref="I21:I22"/>
    <mergeCell ref="I23:I24"/>
    <mergeCell ref="Q23:Q24"/>
    <mergeCell ref="I25:I28"/>
    <mergeCell ref="Q25:Q28"/>
    <mergeCell ref="I29:I30"/>
    <mergeCell ref="Q29:Q30"/>
    <mergeCell ref="I31:I33"/>
    <mergeCell ref="Q31:Q32"/>
    <mergeCell ref="J42:J44"/>
    <mergeCell ref="Q42:Q44"/>
    <mergeCell ref="R47:R50"/>
    <mergeCell ref="Q54:Q55"/>
    <mergeCell ref="I59:I64"/>
    <mergeCell ref="C69:K69"/>
    <mergeCell ref="B72:I72"/>
    <mergeCell ref="B73:I73"/>
    <mergeCell ref="I35:I36"/>
    <mergeCell ref="Q35:Q36"/>
    <mergeCell ref="I37:I39"/>
    <mergeCell ref="Q37:Q39"/>
    <mergeCell ref="I40:I41"/>
    <mergeCell ref="Q40:Q41"/>
    <mergeCell ref="I42:I46"/>
    <mergeCell ref="H52:H53"/>
    <mergeCell ref="G52:G53"/>
    <mergeCell ref="F52:F53"/>
    <mergeCell ref="E52:E53"/>
    <mergeCell ref="C52:C53"/>
    <mergeCell ref="B52:B53"/>
    <mergeCell ref="C68:F68"/>
    <mergeCell ref="F54:F55"/>
    <mergeCell ref="G54:G55"/>
    <mergeCell ref="H54:H55"/>
    <mergeCell ref="B35:B36"/>
    <mergeCell ref="D59:D64"/>
    <mergeCell ref="D2:D3"/>
    <mergeCell ref="D5:D7"/>
    <mergeCell ref="D9:D13"/>
    <mergeCell ref="D14:D15"/>
    <mergeCell ref="D16:D18"/>
    <mergeCell ref="D19:D20"/>
    <mergeCell ref="D21:D22"/>
    <mergeCell ref="I52:I53"/>
    <mergeCell ref="I54:I55"/>
    <mergeCell ref="E2:E3"/>
    <mergeCell ref="E5:E7"/>
    <mergeCell ref="H2:H3"/>
    <mergeCell ref="D31:D33"/>
    <mergeCell ref="D35:D36"/>
    <mergeCell ref="D37:D39"/>
    <mergeCell ref="D40:D41"/>
    <mergeCell ref="D42:D46"/>
    <mergeCell ref="D47:D50"/>
    <mergeCell ref="D52:D53"/>
    <mergeCell ref="D54:D55"/>
    <mergeCell ref="G2:G3"/>
    <mergeCell ref="G25:G28"/>
    <mergeCell ref="F37:F39"/>
    <mergeCell ref="G23:G24"/>
  </mergeCells>
  <pageMargins left="0.23622047244094491" right="0.23622047244094491" top="0.74803149606299213" bottom="0.74803149606299213" header="0.31496062992125984" footer="0.31496062992125984"/>
  <pageSetup paperSize="8" scale="62" fitToHeight="0" orientation="landscape" r:id="rId1"/>
  <headerFooter>
    <oddFooter xml:space="preserve">&amp;RZpracoval odbor finanční , stav k 2. 5. 2017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57" t="s">
        <v>648</v>
      </c>
    </row>
    <row r="5" spans="1:6" ht="15.75" thickBot="1" x14ac:dyDescent="0.3">
      <c r="A5" s="704"/>
      <c r="B5" s="713" t="s">
        <v>638</v>
      </c>
      <c r="C5" s="714" t="s">
        <v>649</v>
      </c>
      <c r="D5" s="715" t="s">
        <v>639</v>
      </c>
      <c r="E5" s="716" t="s">
        <v>640</v>
      </c>
    </row>
    <row r="6" spans="1:6" ht="30.75" thickTop="1" x14ac:dyDescent="0.25">
      <c r="A6" s="703" t="s">
        <v>641</v>
      </c>
      <c r="B6" s="708" t="s">
        <v>216</v>
      </c>
      <c r="C6" s="705">
        <f>134201.25*0.85+361507.25*0.85</f>
        <v>421352.22499999998</v>
      </c>
      <c r="D6" s="701">
        <v>393222.74</v>
      </c>
      <c r="E6" s="702">
        <f>C6-D6</f>
        <v>28129.484999999986</v>
      </c>
    </row>
    <row r="7" spans="1:6" ht="30" x14ac:dyDescent="0.25">
      <c r="A7" s="696" t="s">
        <v>642</v>
      </c>
      <c r="B7" s="709" t="s">
        <v>170</v>
      </c>
      <c r="C7" s="706">
        <f>44293.75*0.85</f>
        <v>37649.6875</v>
      </c>
      <c r="D7" s="695">
        <v>37649.68</v>
      </c>
      <c r="E7" s="697">
        <f t="shared" ref="E7:E11" si="0">C7-D7</f>
        <v>7.4999999997089617E-3</v>
      </c>
      <c r="F7" s="687"/>
    </row>
    <row r="8" spans="1:6" ht="30" x14ac:dyDescent="0.25">
      <c r="A8" s="696" t="s">
        <v>643</v>
      </c>
      <c r="B8" s="709" t="s">
        <v>171</v>
      </c>
      <c r="C8" s="706">
        <f>397500*0.85</f>
        <v>337875</v>
      </c>
      <c r="D8" s="695">
        <v>337874.99</v>
      </c>
      <c r="E8" s="697">
        <f t="shared" si="0"/>
        <v>1.0000000009313226E-2</v>
      </c>
      <c r="F8" s="687"/>
    </row>
    <row r="9" spans="1:6" ht="45" x14ac:dyDescent="0.25">
      <c r="A9" s="696" t="s">
        <v>644</v>
      </c>
      <c r="B9" s="709" t="s">
        <v>289</v>
      </c>
      <c r="C9" s="706">
        <v>259239.57</v>
      </c>
      <c r="D9" s="695">
        <v>259239.57</v>
      </c>
      <c r="E9" s="697">
        <f t="shared" si="0"/>
        <v>0</v>
      </c>
    </row>
    <row r="10" spans="1:6" ht="45" x14ac:dyDescent="0.25">
      <c r="A10" s="696" t="s">
        <v>645</v>
      </c>
      <c r="B10" s="709" t="s">
        <v>174</v>
      </c>
      <c r="C10" s="706">
        <v>225882.28</v>
      </c>
      <c r="D10" s="695">
        <v>186679.77</v>
      </c>
      <c r="E10" s="697">
        <f t="shared" si="0"/>
        <v>39202.510000000009</v>
      </c>
    </row>
    <row r="11" spans="1:6" ht="45.75" thickBot="1" x14ac:dyDescent="0.3">
      <c r="A11" s="698" t="s">
        <v>646</v>
      </c>
      <c r="B11" s="710" t="s">
        <v>367</v>
      </c>
      <c r="C11" s="707">
        <v>910378.05</v>
      </c>
      <c r="D11" s="699">
        <v>751432.9</v>
      </c>
      <c r="E11" s="700">
        <f t="shared" si="0"/>
        <v>158945.15000000002</v>
      </c>
    </row>
    <row r="12" spans="1:6" s="22" customFormat="1" ht="15.75" thickBot="1" x14ac:dyDescent="0.3">
      <c r="A12" s="1148" t="s">
        <v>212</v>
      </c>
      <c r="B12" s="1149"/>
      <c r="C12" s="711">
        <f>SUM(C6:C11)</f>
        <v>2192376.8125</v>
      </c>
      <c r="D12" s="711">
        <f>SUM(D6:D11)</f>
        <v>1966099.65</v>
      </c>
      <c r="E12" s="712">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84F2F713-0E09-47BF-9294-62BCBE6855C9}"/>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 35. zasedání Rady Karlovarského kraje, které se uskutečnilo dne 22.5.2017 (k bodu č. 8)</dc:title>
  <dc:creator/>
  <cp:lastModifiedBy/>
  <dcterms:created xsi:type="dcterms:W3CDTF">2006-09-16T00:00:00Z</dcterms:created>
  <dcterms:modified xsi:type="dcterms:W3CDTF">2017-05-24T05:09:17Z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